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yer\Downloads\"/>
    </mc:Choice>
  </mc:AlternateContent>
  <xr:revisionPtr revIDLastSave="0" documentId="13_ncr:1_{17293BCE-F633-432C-90CF-5A41BB96F388}" xr6:coauthVersionLast="34" xr6:coauthVersionMax="43" xr10:uidLastSave="{00000000-0000-0000-0000-000000000000}"/>
  <workbookProtection workbookAlgorithmName="SHA-512" workbookHashValue="f92Uy/RNf/wUUadHKaHGJR+qaR1dEHq1G3qXjgeGXSPWObPjydV5lLIpkP/OfXbSA0ypC4ZhehcLckdgVCKJtA==" workbookSaltValue="Dk8eyRKpmQF47+3s4Kaz0Q==" workbookSpinCount="100000" lockStructure="1"/>
  <bookViews>
    <workbookView xWindow="-90" yWindow="-90" windowWidth="25790" windowHeight="13990" xr2:uid="{D6C3E870-EBC5-4631-BFDF-19B242E58AB2}"/>
  </bookViews>
  <sheets>
    <sheet name="Entry &amp; results" sheetId="9" r:id="rId1"/>
    <sheet name="Hasselblad &amp; Hedges" sheetId="2" r:id="rId2"/>
    <sheet name="Cox &amp; Snell" sheetId="5" r:id="rId3"/>
    <sheet name="Furukawa" sheetId="10" r:id="rId4"/>
    <sheet name="Suissa" sheetId="8" r:id="rId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C2" i="10" l="1"/>
  <c r="B7" i="9" l="1"/>
  <c r="D1" i="10" l="1"/>
  <c r="F21" i="10" s="1"/>
  <c r="D1" i="5"/>
  <c r="B2" i="5" s="1"/>
  <c r="D1" i="2"/>
  <c r="B2" i="2" s="1"/>
  <c r="C18" i="9" l="1"/>
  <c r="C7" i="2" s="1"/>
  <c r="B18" i="9"/>
  <c r="B17" i="9"/>
  <c r="B6" i="8" s="1"/>
  <c r="F17" i="10"/>
  <c r="B6" i="2" l="1"/>
  <c r="B6" i="5"/>
  <c r="B5" i="10"/>
  <c r="C7" i="8"/>
  <c r="C7" i="5"/>
  <c r="C6" i="10"/>
  <c r="B13" i="2"/>
  <c r="B19" i="2" s="1"/>
  <c r="C13" i="2"/>
  <c r="D12" i="10"/>
  <c r="B12" i="10"/>
  <c r="C2" i="8" l="1"/>
  <c r="C3" i="5"/>
  <c r="C3" i="2"/>
  <c r="B26" i="9" l="1"/>
  <c r="B15" i="8" s="1"/>
  <c r="C26" i="9"/>
  <c r="C15" i="8" s="1"/>
  <c r="B25" i="9"/>
  <c r="B14" i="8" s="1"/>
  <c r="B6" i="10"/>
  <c r="B7" i="2"/>
  <c r="B7" i="5"/>
  <c r="B7" i="8"/>
  <c r="A42" i="10" l="1"/>
  <c r="A41" i="10"/>
  <c r="E36" i="10"/>
  <c r="D36" i="10"/>
  <c r="C36" i="10"/>
  <c r="B36" i="10"/>
  <c r="C29" i="10"/>
  <c r="B29" i="10"/>
  <c r="B17" i="10"/>
  <c r="B16" i="10"/>
  <c r="B14" i="10"/>
  <c r="B13" i="10"/>
  <c r="C12" i="10"/>
  <c r="B8" i="10"/>
  <c r="B7" i="10"/>
  <c r="B4" i="10"/>
  <c r="B3" i="10"/>
  <c r="B2" i="10"/>
  <c r="C45" i="10" l="1"/>
  <c r="D45" i="10"/>
  <c r="B45" i="10"/>
  <c r="E37" i="9" s="1"/>
  <c r="D50" i="10" l="1"/>
  <c r="D37" i="9" s="1"/>
  <c r="M37" i="9" s="1"/>
  <c r="G37" i="9"/>
  <c r="C50" i="10"/>
  <c r="C37" i="9" s="1"/>
  <c r="L37" i="9" s="1"/>
  <c r="F37" i="9"/>
  <c r="B50" i="10"/>
  <c r="B37" i="9" s="1"/>
  <c r="K37" i="9" s="1"/>
  <c r="B26" i="8"/>
  <c r="B25" i="8"/>
  <c r="B23" i="8"/>
  <c r="B22" i="8"/>
  <c r="C21" i="8"/>
  <c r="D21" i="8"/>
  <c r="B21" i="8"/>
  <c r="B9" i="8"/>
  <c r="B8" i="8"/>
  <c r="B5" i="8"/>
  <c r="B4" i="8"/>
  <c r="B2" i="8"/>
  <c r="B15" i="5"/>
  <c r="B14" i="5"/>
  <c r="C13" i="5"/>
  <c r="D13" i="5"/>
  <c r="B13" i="5"/>
  <c r="B9" i="5"/>
  <c r="B8" i="5"/>
  <c r="B5" i="5"/>
  <c r="B4" i="5"/>
  <c r="B3" i="5"/>
  <c r="B15" i="2"/>
  <c r="B14" i="2"/>
  <c r="D13" i="2"/>
  <c r="B17" i="8"/>
  <c r="B16" i="8"/>
  <c r="B13" i="8"/>
  <c r="B12" i="8"/>
  <c r="B9" i="2"/>
  <c r="B8" i="2"/>
  <c r="B5" i="2"/>
  <c r="B4" i="2"/>
  <c r="B3" i="2"/>
  <c r="C28" i="9"/>
  <c r="C17" i="8" s="1"/>
  <c r="C20" i="9"/>
  <c r="C8" i="10" s="1"/>
  <c r="B20" i="10" l="1"/>
  <c r="B21" i="10" s="1"/>
  <c r="D20" i="10"/>
  <c r="D22" i="10" s="1"/>
  <c r="C20" i="10"/>
  <c r="B9" i="10"/>
  <c r="B26" i="10"/>
  <c r="B48" i="10"/>
  <c r="B49" i="10" s="1"/>
  <c r="D48" i="10"/>
  <c r="D54" i="10" s="1"/>
  <c r="C26" i="10"/>
  <c r="C48" i="10"/>
  <c r="C9" i="2"/>
  <c r="C9" i="8"/>
  <c r="B41" i="8" s="1"/>
  <c r="C9" i="5"/>
  <c r="B46" i="10" l="1"/>
  <c r="B47" i="10" s="1"/>
  <c r="E38" i="9" s="1"/>
  <c r="C21" i="10"/>
  <c r="D21" i="10"/>
  <c r="C22" i="10"/>
  <c r="C23" i="10" s="1"/>
  <c r="B56" i="8"/>
  <c r="B44" i="8"/>
  <c r="C27" i="10"/>
  <c r="C30" i="10" s="1"/>
  <c r="B27" i="10"/>
  <c r="B30" i="10" s="1"/>
  <c r="C46" i="10"/>
  <c r="C51" i="10" s="1"/>
  <c r="D46" i="10"/>
  <c r="D51" i="10" s="1"/>
  <c r="C49" i="10"/>
  <c r="B54" i="10"/>
  <c r="B53" i="10" s="1"/>
  <c r="B22" i="10"/>
  <c r="C54" i="10"/>
  <c r="C53" i="10" s="1"/>
  <c r="D49" i="10"/>
  <c r="D55" i="8"/>
  <c r="G39" i="9" s="1"/>
  <c r="C55" i="8"/>
  <c r="F39" i="9" s="1"/>
  <c r="B55" i="8"/>
  <c r="D26" i="5"/>
  <c r="C26" i="5"/>
  <c r="B26" i="5"/>
  <c r="D19" i="5"/>
  <c r="D20" i="5" s="1"/>
  <c r="C19" i="5"/>
  <c r="C20" i="5" s="1"/>
  <c r="B16" i="5"/>
  <c r="B17" i="5" s="1"/>
  <c r="B18" i="5" s="1"/>
  <c r="B19" i="5"/>
  <c r="B20" i="5" s="1"/>
  <c r="B21" i="5" s="1"/>
  <c r="K36" i="9" s="1"/>
  <c r="B51" i="10" l="1"/>
  <c r="D23" i="10"/>
  <c r="B33" i="10"/>
  <c r="B42" i="10" s="1"/>
  <c r="B23" i="10"/>
  <c r="D21" i="5"/>
  <c r="C21" i="5"/>
  <c r="C47" i="10"/>
  <c r="F38" i="9" s="1"/>
  <c r="D44" i="8"/>
  <c r="C44" i="8"/>
  <c r="D52" i="10"/>
  <c r="D55" i="10" s="1"/>
  <c r="J38" i="9" s="1"/>
  <c r="D47" i="10"/>
  <c r="G38" i="9" s="1"/>
  <c r="C52" i="10"/>
  <c r="C38" i="9" s="1"/>
  <c r="D53" i="10"/>
  <c r="H37" i="9"/>
  <c r="B58" i="8"/>
  <c r="B39" i="9" s="1"/>
  <c r="E39" i="9"/>
  <c r="I37" i="9"/>
  <c r="B29" i="5"/>
  <c r="B35" i="9" s="1"/>
  <c r="E35" i="9"/>
  <c r="C29" i="5"/>
  <c r="C35" i="9" s="1"/>
  <c r="F35" i="9"/>
  <c r="D29" i="5"/>
  <c r="D35" i="9" s="1"/>
  <c r="G35" i="9"/>
  <c r="B18" i="8"/>
  <c r="B28" i="8"/>
  <c r="B29" i="8"/>
  <c r="B34" i="8" s="1"/>
  <c r="B39" i="8" s="1"/>
  <c r="B27" i="5"/>
  <c r="C58" i="8"/>
  <c r="C39" i="9" s="1"/>
  <c r="B10" i="8"/>
  <c r="D58" i="8"/>
  <c r="D39" i="9" s="1"/>
  <c r="J37" i="9"/>
  <c r="B10" i="5"/>
  <c r="I35" i="9" l="1"/>
  <c r="L35" i="9"/>
  <c r="I39" i="9"/>
  <c r="L39" i="9"/>
  <c r="J35" i="9"/>
  <c r="M35" i="9"/>
  <c r="J39" i="9"/>
  <c r="M39" i="9"/>
  <c r="H39" i="9"/>
  <c r="K39" i="9"/>
  <c r="H35" i="9"/>
  <c r="K35" i="9"/>
  <c r="C27" i="5"/>
  <c r="C30" i="5" s="1"/>
  <c r="L36" i="9"/>
  <c r="D27" i="5"/>
  <c r="D30" i="5" s="1"/>
  <c r="D23" i="5" s="1"/>
  <c r="M36" i="9"/>
  <c r="B52" i="10"/>
  <c r="B55" i="10" s="1"/>
  <c r="H38" i="9" s="1"/>
  <c r="B34" i="10"/>
  <c r="B37" i="10" s="1"/>
  <c r="B38" i="10" s="1"/>
  <c r="C41" i="10" s="1"/>
  <c r="L38" i="9" s="1"/>
  <c r="B41" i="10"/>
  <c r="K38" i="9" s="1"/>
  <c r="D38" i="9"/>
  <c r="C55" i="10"/>
  <c r="I38" i="9" s="1"/>
  <c r="B46" i="8"/>
  <c r="B47" i="8" s="1"/>
  <c r="B51" i="8" s="1"/>
  <c r="B52" i="8" s="1"/>
  <c r="K40" i="9" s="1"/>
  <c r="B30" i="5"/>
  <c r="B28" i="5"/>
  <c r="E36" i="9" s="1"/>
  <c r="B38" i="8"/>
  <c r="B31" i="8"/>
  <c r="B48" i="8" s="1"/>
  <c r="B33" i="8"/>
  <c r="C26" i="2"/>
  <c r="D26" i="2"/>
  <c r="B26" i="2"/>
  <c r="D28" i="5" l="1"/>
  <c r="G36" i="9" s="1"/>
  <c r="C28" i="5"/>
  <c r="F36" i="9" s="1"/>
  <c r="B38" i="9"/>
  <c r="C37" i="10"/>
  <c r="C38" i="10" s="1"/>
  <c r="D41" i="10" s="1"/>
  <c r="E37" i="10"/>
  <c r="E38" i="10" s="1"/>
  <c r="D42" i="10" s="1"/>
  <c r="D37" i="10"/>
  <c r="D38" i="10" s="1"/>
  <c r="C42" i="10" s="1"/>
  <c r="B31" i="5"/>
  <c r="B32" i="5" s="1"/>
  <c r="D29" i="2"/>
  <c r="D33" i="9" s="1"/>
  <c r="G33" i="9"/>
  <c r="C29" i="2"/>
  <c r="C33" i="9" s="1"/>
  <c r="F33" i="9"/>
  <c r="B29" i="2"/>
  <c r="B33" i="9" s="1"/>
  <c r="E33" i="9"/>
  <c r="C51" i="8"/>
  <c r="C52" i="8" s="1"/>
  <c r="C23" i="5"/>
  <c r="D31" i="5"/>
  <c r="C31" i="5"/>
  <c r="B59" i="8"/>
  <c r="B57" i="8"/>
  <c r="E40" i="9" s="1"/>
  <c r="B37" i="8"/>
  <c r="B36" i="8"/>
  <c r="D51" i="8"/>
  <c r="D52" i="8" s="1"/>
  <c r="C19" i="2"/>
  <c r="C20" i="2" s="1"/>
  <c r="I33" i="9" l="1"/>
  <c r="L33" i="9"/>
  <c r="J33" i="9"/>
  <c r="M33" i="9"/>
  <c r="H33" i="9"/>
  <c r="K33" i="9"/>
  <c r="C56" i="8"/>
  <c r="C59" i="8" s="1"/>
  <c r="L40" i="9"/>
  <c r="M38" i="9"/>
  <c r="D56" i="8"/>
  <c r="D59" i="8" s="1"/>
  <c r="M40" i="9"/>
  <c r="B36" i="9"/>
  <c r="H36" i="9"/>
  <c r="B60" i="8"/>
  <c r="B61" i="8" s="1"/>
  <c r="C36" i="9"/>
  <c r="C32" i="5"/>
  <c r="D36" i="9"/>
  <c r="D32" i="5"/>
  <c r="B10" i="2"/>
  <c r="B20" i="2"/>
  <c r="B21" i="2" s="1"/>
  <c r="K34" i="9" s="1"/>
  <c r="D19" i="2"/>
  <c r="D20" i="2" s="1"/>
  <c r="D21" i="2" s="1"/>
  <c r="M34" i="9" s="1"/>
  <c r="C57" i="8" l="1"/>
  <c r="F40" i="9" s="1"/>
  <c r="D57" i="8"/>
  <c r="G40" i="9" s="1"/>
  <c r="C60" i="8"/>
  <c r="C40" i="9" s="1"/>
  <c r="D60" i="8"/>
  <c r="D61" i="8" s="1"/>
  <c r="C21" i="2"/>
  <c r="I36" i="9"/>
  <c r="J36" i="9"/>
  <c r="B40" i="9"/>
  <c r="H40" i="9"/>
  <c r="B27" i="2"/>
  <c r="B28" i="2" s="1"/>
  <c r="E34" i="9" s="1"/>
  <c r="D27" i="2"/>
  <c r="B16" i="2"/>
  <c r="B17" i="2" s="1"/>
  <c r="B18" i="2" s="1"/>
  <c r="C61" i="8" l="1"/>
  <c r="I40" i="9" s="1"/>
  <c r="D40" i="9"/>
  <c r="C27" i="2"/>
  <c r="C30" i="2" s="1"/>
  <c r="C23" i="2" s="1"/>
  <c r="L34" i="9"/>
  <c r="J40" i="9"/>
  <c r="B30" i="2"/>
  <c r="D30" i="2"/>
  <c r="B23" i="5"/>
  <c r="C28" i="2" l="1"/>
  <c r="F34" i="9" s="1"/>
  <c r="D28" i="2"/>
  <c r="G34" i="9" s="1"/>
  <c r="D23" i="2"/>
  <c r="D31" i="2"/>
  <c r="C31" i="2"/>
  <c r="B23" i="2"/>
  <c r="B31" i="2"/>
  <c r="B34" i="9" l="1"/>
  <c r="B32" i="2"/>
  <c r="C34" i="9"/>
  <c r="C32" i="2"/>
  <c r="D34" i="9"/>
  <c r="D32" i="2"/>
  <c r="I34" i="9" l="1"/>
  <c r="J34" i="9"/>
  <c r="H34" i="9"/>
</calcChain>
</file>

<file path=xl/sharedStrings.xml><?xml version="1.0" encoding="utf-8"?>
<sst xmlns="http://schemas.openxmlformats.org/spreadsheetml/2006/main" count="247" uniqueCount="100">
  <si>
    <t>Standard error of the standardized mean difference</t>
  </si>
  <si>
    <t>Point estimate</t>
  </si>
  <si>
    <t>95% CI, lower</t>
  </si>
  <si>
    <t>95% CI, upper</t>
  </si>
  <si>
    <t>n/a</t>
  </si>
  <si>
    <t>Hasselblad &amp; Hedges</t>
  </si>
  <si>
    <t>Cox &amp; Snell</t>
  </si>
  <si>
    <t>Standardized/standard mean difference</t>
  </si>
  <si>
    <t>Multiplier</t>
  </si>
  <si>
    <t>OR</t>
  </si>
  <si>
    <t>NNT</t>
  </si>
  <si>
    <t>Absolute risk difference</t>
  </si>
  <si>
    <r>
      <t xml:space="preserve">Standard error of </t>
    </r>
    <r>
      <rPr>
        <i/>
        <sz val="11"/>
        <color theme="1"/>
        <rFont val="Calibri"/>
        <family val="2"/>
        <scheme val="minor"/>
      </rPr>
      <t>ln</t>
    </r>
    <r>
      <rPr>
        <sz val="11"/>
        <color theme="1"/>
        <rFont val="Calibri"/>
        <family val="2"/>
        <scheme val="minor"/>
      </rPr>
      <t>OR</t>
    </r>
  </si>
  <si>
    <r>
      <t xml:space="preserve">Upper limit of 95% CI for </t>
    </r>
    <r>
      <rPr>
        <i/>
        <sz val="11"/>
        <color theme="1"/>
        <rFont val="Calibri"/>
        <family val="2"/>
        <scheme val="minor"/>
      </rPr>
      <t>ln</t>
    </r>
    <r>
      <rPr>
        <sz val="11"/>
        <color theme="1"/>
        <rFont val="Calibri"/>
        <family val="2"/>
        <scheme val="minor"/>
      </rPr>
      <t xml:space="preserve">OR - lower limit of 95% CI for </t>
    </r>
    <r>
      <rPr>
        <i/>
        <sz val="11"/>
        <color theme="1"/>
        <rFont val="Calibri"/>
        <family val="2"/>
        <scheme val="minor"/>
      </rPr>
      <t>ln</t>
    </r>
    <r>
      <rPr>
        <sz val="11"/>
        <color theme="1"/>
        <rFont val="Calibri"/>
        <family val="2"/>
        <scheme val="minor"/>
      </rPr>
      <t>OR</t>
    </r>
  </si>
  <si>
    <t>Beneficial</t>
  </si>
  <si>
    <r>
      <rPr>
        <i/>
        <sz val="11"/>
        <color theme="1"/>
        <rFont val="Calibri"/>
        <family val="2"/>
        <scheme val="minor"/>
      </rPr>
      <t>ln</t>
    </r>
    <r>
      <rPr>
        <sz val="11"/>
        <color theme="1"/>
        <rFont val="Calibri"/>
        <family val="2"/>
        <scheme val="minor"/>
      </rPr>
      <t>OR</t>
    </r>
  </si>
  <si>
    <r>
      <t xml:space="preserve">Is a </t>
    </r>
    <r>
      <rPr>
        <b/>
        <i/>
        <u/>
        <sz val="11"/>
        <color theme="1"/>
        <rFont val="Calibri"/>
        <family val="2"/>
        <scheme val="minor"/>
      </rPr>
      <t>decrease</t>
    </r>
    <r>
      <rPr>
        <b/>
        <sz val="11"/>
        <color theme="1"/>
        <rFont val="Calibri"/>
        <family val="2"/>
        <scheme val="minor"/>
      </rPr>
      <t xml:space="preserve"> in the standardized/standard mean difference </t>
    </r>
    <r>
      <rPr>
        <b/>
        <i/>
        <u/>
        <sz val="11"/>
        <color theme="1"/>
        <rFont val="Calibri"/>
        <family val="2"/>
        <scheme val="minor"/>
      </rPr>
      <t>beneficial</t>
    </r>
    <r>
      <rPr>
        <b/>
        <sz val="11"/>
        <color theme="1"/>
        <rFont val="Calibri"/>
        <family val="2"/>
        <scheme val="minor"/>
      </rPr>
      <t xml:space="preserve"> or </t>
    </r>
    <r>
      <rPr>
        <b/>
        <i/>
        <u/>
        <sz val="11"/>
        <color theme="1"/>
        <rFont val="Calibri"/>
        <family val="2"/>
        <scheme val="minor"/>
      </rPr>
      <t>harmful</t>
    </r>
    <r>
      <rPr>
        <b/>
        <sz val="11"/>
        <color theme="1"/>
        <rFont val="Calibri"/>
        <family val="2"/>
        <scheme val="minor"/>
      </rPr>
      <t>?</t>
    </r>
  </si>
  <si>
    <r>
      <rPr>
        <b/>
        <sz val="11"/>
        <color theme="1"/>
        <rFont val="Calibri"/>
        <family val="2"/>
        <scheme val="minor"/>
      </rPr>
      <t>Risk A:</t>
    </r>
    <r>
      <rPr>
        <sz val="11"/>
        <color theme="1"/>
        <rFont val="Calibri"/>
        <family val="2"/>
        <scheme val="minor"/>
      </rPr>
      <t xml:space="preserve"> Estimated risk of reaching </t>
    </r>
    <r>
      <rPr>
        <i/>
        <sz val="11"/>
        <color theme="1"/>
        <rFont val="Calibri"/>
        <family val="2"/>
        <scheme val="minor"/>
      </rPr>
      <t>at least</t>
    </r>
    <r>
      <rPr>
        <sz val="11"/>
        <color theme="1"/>
        <rFont val="Calibri"/>
        <family val="2"/>
        <scheme val="minor"/>
      </rPr>
      <t xml:space="preserve"> the definition of an "outcome" in the control group </t>
    </r>
    <r>
      <rPr>
        <b/>
        <i/>
        <sz val="11"/>
        <color theme="1"/>
        <rFont val="Calibri"/>
        <family val="2"/>
        <scheme val="minor"/>
      </rPr>
      <t>based on above entries</t>
    </r>
  </si>
  <si>
    <r>
      <t xml:space="preserve">Which estimated risk of reaching </t>
    </r>
    <r>
      <rPr>
        <i/>
        <sz val="11"/>
        <color theme="1"/>
        <rFont val="Calibri"/>
        <family val="2"/>
        <scheme val="minor"/>
      </rPr>
      <t>at least</t>
    </r>
    <r>
      <rPr>
        <sz val="11"/>
        <color theme="1"/>
        <rFont val="Calibri"/>
        <family val="2"/>
        <scheme val="minor"/>
      </rPr>
      <t xml:space="preserve"> the definition of an "outcome" in the control group do you want to use?</t>
    </r>
  </si>
  <si>
    <r>
      <t xml:space="preserve">Estimated odds of reaching </t>
    </r>
    <r>
      <rPr>
        <i/>
        <sz val="11"/>
        <color theme="1"/>
        <rFont val="Calibri"/>
        <family val="2"/>
        <scheme val="minor"/>
      </rPr>
      <t xml:space="preserve">at least </t>
    </r>
    <r>
      <rPr>
        <sz val="11"/>
        <color theme="1"/>
        <rFont val="Calibri"/>
        <family val="2"/>
        <scheme val="minor"/>
      </rPr>
      <t>the definition of an "outcome" in the control group</t>
    </r>
  </si>
  <si>
    <r>
      <t xml:space="preserve">Is a </t>
    </r>
    <r>
      <rPr>
        <b/>
        <i/>
        <u/>
        <sz val="11"/>
        <color theme="1"/>
        <rFont val="Calibri"/>
        <family val="2"/>
        <scheme val="minor"/>
      </rPr>
      <t>decrease</t>
    </r>
    <r>
      <rPr>
        <b/>
        <sz val="11"/>
        <color theme="1"/>
        <rFont val="Calibri"/>
        <family val="2"/>
        <scheme val="minor"/>
      </rPr>
      <t xml:space="preserve"> in the number of people experiencing an "outcome" </t>
    </r>
    <r>
      <rPr>
        <b/>
        <i/>
        <u/>
        <sz val="11"/>
        <color theme="1"/>
        <rFont val="Calibri"/>
        <family val="2"/>
        <scheme val="minor"/>
      </rPr>
      <t>beneficial</t>
    </r>
    <r>
      <rPr>
        <b/>
        <sz val="11"/>
        <color theme="1"/>
        <rFont val="Calibri"/>
        <family val="2"/>
        <scheme val="minor"/>
      </rPr>
      <t xml:space="preserve"> or </t>
    </r>
    <r>
      <rPr>
        <b/>
        <i/>
        <u/>
        <sz val="11"/>
        <color theme="1"/>
        <rFont val="Calibri"/>
        <family val="2"/>
        <scheme val="minor"/>
      </rPr>
      <t>harmful</t>
    </r>
    <r>
      <rPr>
        <b/>
        <sz val="11"/>
        <color theme="1"/>
        <rFont val="Calibri"/>
        <family val="2"/>
        <scheme val="minor"/>
      </rPr>
      <t>?</t>
    </r>
  </si>
  <si>
    <t>Furukawa</t>
  </si>
  <si>
    <r>
      <rPr>
        <b/>
        <sz val="11"/>
        <color theme="1"/>
        <rFont val="Calibri"/>
        <family val="2"/>
        <scheme val="minor"/>
      </rPr>
      <t xml:space="preserve">Risk B: </t>
    </r>
    <r>
      <rPr>
        <sz val="11"/>
        <color theme="1"/>
        <rFont val="Calibri"/>
        <family val="2"/>
        <scheme val="minor"/>
      </rPr>
      <t xml:space="preserve">Estimated risk of reaching </t>
    </r>
    <r>
      <rPr>
        <i/>
        <sz val="11"/>
        <color theme="1"/>
        <rFont val="Calibri"/>
        <family val="2"/>
        <scheme val="minor"/>
      </rPr>
      <t>at least</t>
    </r>
    <r>
      <rPr>
        <sz val="11"/>
        <color theme="1"/>
        <rFont val="Calibri"/>
        <family val="2"/>
        <scheme val="minor"/>
      </rPr>
      <t xml:space="preserve"> the definition of an "outcome" in the control group</t>
    </r>
    <r>
      <rPr>
        <b/>
        <i/>
        <sz val="11"/>
        <color theme="1"/>
        <rFont val="Calibri"/>
        <family val="2"/>
        <scheme val="minor"/>
      </rPr>
      <t xml:space="preserve"> entered manually</t>
    </r>
  </si>
  <si>
    <t>Suissa</t>
  </si>
  <si>
    <r>
      <rPr>
        <b/>
        <sz val="11"/>
        <color theme="1"/>
        <rFont val="Calibri"/>
        <family val="2"/>
        <scheme val="minor"/>
      </rPr>
      <t>Risk A:</t>
    </r>
    <r>
      <rPr>
        <sz val="11"/>
        <color theme="1"/>
        <rFont val="Calibri"/>
        <family val="2"/>
        <scheme val="minor"/>
      </rPr>
      <t xml:space="preserve"> Estimated risk of reaching </t>
    </r>
    <r>
      <rPr>
        <i/>
        <sz val="11"/>
        <color theme="1"/>
        <rFont val="Calibri"/>
        <family val="2"/>
        <scheme val="minor"/>
      </rPr>
      <t>at least</t>
    </r>
    <r>
      <rPr>
        <sz val="11"/>
        <color theme="1"/>
        <rFont val="Calibri"/>
        <family val="2"/>
        <scheme val="minor"/>
      </rPr>
      <t xml:space="preserve"> the definition of an "outcome" in the interventional group </t>
    </r>
    <r>
      <rPr>
        <b/>
        <i/>
        <sz val="11"/>
        <color theme="1"/>
        <rFont val="Calibri"/>
        <family val="2"/>
        <scheme val="minor"/>
      </rPr>
      <t>based on above entries</t>
    </r>
  </si>
  <si>
    <r>
      <rPr>
        <b/>
        <sz val="11"/>
        <color theme="1"/>
        <rFont val="Calibri"/>
        <family val="2"/>
        <scheme val="minor"/>
      </rPr>
      <t xml:space="preserve">Risk B: </t>
    </r>
    <r>
      <rPr>
        <sz val="11"/>
        <color theme="1"/>
        <rFont val="Calibri"/>
        <family val="2"/>
        <scheme val="minor"/>
      </rPr>
      <t xml:space="preserve">Estimated risk of reaching </t>
    </r>
    <r>
      <rPr>
        <i/>
        <sz val="11"/>
        <color theme="1"/>
        <rFont val="Calibri"/>
        <family val="2"/>
        <scheme val="minor"/>
      </rPr>
      <t>at least</t>
    </r>
    <r>
      <rPr>
        <sz val="11"/>
        <color theme="1"/>
        <rFont val="Calibri"/>
        <family val="2"/>
        <scheme val="minor"/>
      </rPr>
      <t xml:space="preserve"> the definition of an "outcome" in the interventional group</t>
    </r>
    <r>
      <rPr>
        <b/>
        <i/>
        <sz val="11"/>
        <color theme="1"/>
        <rFont val="Calibri"/>
        <family val="2"/>
        <scheme val="minor"/>
      </rPr>
      <t xml:space="preserve"> entered manually</t>
    </r>
  </si>
  <si>
    <r>
      <t xml:space="preserve">Which estimated risk of reaching </t>
    </r>
    <r>
      <rPr>
        <i/>
        <sz val="11"/>
        <color theme="1"/>
        <rFont val="Calibri"/>
        <family val="2"/>
        <scheme val="minor"/>
      </rPr>
      <t>at least</t>
    </r>
    <r>
      <rPr>
        <sz val="11"/>
        <color theme="1"/>
        <rFont val="Calibri"/>
        <family val="2"/>
        <scheme val="minor"/>
      </rPr>
      <t xml:space="preserve"> the definition of an "outcome" in the interventional group do you want to use?</t>
    </r>
  </si>
  <si>
    <t>Number in interventional group</t>
  </si>
  <si>
    <t>Number in control group</t>
  </si>
  <si>
    <t>Estimated number of events in the control group</t>
  </si>
  <si>
    <t>Estimated number of events in the interventional group</t>
  </si>
  <si>
    <r>
      <t xml:space="preserve">Estimated risk of having </t>
    </r>
    <r>
      <rPr>
        <i/>
        <sz val="11"/>
        <color theme="1"/>
        <rFont val="Calibri"/>
        <family val="2"/>
        <scheme val="minor"/>
      </rPr>
      <t>at least</t>
    </r>
    <r>
      <rPr>
        <sz val="11"/>
        <color theme="1"/>
        <rFont val="Calibri"/>
        <family val="2"/>
        <scheme val="minor"/>
      </rPr>
      <t xml:space="preserve"> an "outcome" in the interventional group</t>
    </r>
  </si>
  <si>
    <r>
      <t xml:space="preserve">Furukawa's original (note: the original includes an error, because </t>
    </r>
    <r>
      <rPr>
        <i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- should be </t>
    </r>
    <r>
      <rPr>
        <i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+; I've corrected this in my version.)</t>
    </r>
  </si>
  <si>
    <r>
      <t xml:space="preserve">Estimated odds of reaching </t>
    </r>
    <r>
      <rPr>
        <i/>
        <sz val="11"/>
        <color theme="1"/>
        <rFont val="Calibri"/>
        <family val="2"/>
        <scheme val="minor"/>
      </rPr>
      <t xml:space="preserve">at least </t>
    </r>
    <r>
      <rPr>
        <sz val="11"/>
        <color theme="1"/>
        <rFont val="Calibri"/>
        <family val="2"/>
        <scheme val="minor"/>
      </rPr>
      <t>the definition of an "outcome" in the interventional group</t>
    </r>
  </si>
  <si>
    <r>
      <t xml:space="preserve">Variance of risk (of reaching </t>
    </r>
    <r>
      <rPr>
        <i/>
        <sz val="11"/>
        <color theme="1"/>
        <rFont val="Calibri"/>
        <family val="2"/>
        <scheme val="minor"/>
      </rPr>
      <t xml:space="preserve">at least </t>
    </r>
    <r>
      <rPr>
        <sz val="11"/>
        <color theme="1"/>
        <rFont val="Calibri"/>
        <family val="2"/>
        <scheme val="minor"/>
      </rPr>
      <t>the definition of an "outcome") in control group</t>
    </r>
  </si>
  <si>
    <t>Variance of risk (of reaching at least the definition of an "outcome") in interventional group</t>
  </si>
  <si>
    <t>Standard deviation of risk (of reaching at least the definition of an "outcome") in control group</t>
  </si>
  <si>
    <t>Standard deviation of risk (of reaching at least the definition of an "outcome") in interventional group</t>
  </si>
  <si>
    <t>Lower bound of confidence interval for risk (of reaching at least the definition of an "outcome") in the interventional group</t>
  </si>
  <si>
    <t>Upper bound of confidence interval for risk (of reaching at least the definition of an "outcome") in the interventional group</t>
  </si>
  <si>
    <t>Lower bound of confidence interval for risk (of reaching at least the definition of an "outcome") in the control group</t>
  </si>
  <si>
    <t>Upper bound of confidence interval for risk (of reaching at least the definition of an "outcome") in the control group</t>
  </si>
  <si>
    <r>
      <t xml:space="preserve">Estimated odds of having </t>
    </r>
    <r>
      <rPr>
        <i/>
        <sz val="11"/>
        <color theme="1"/>
        <rFont val="Calibri"/>
        <family val="2"/>
        <scheme val="minor"/>
      </rPr>
      <t>at least</t>
    </r>
    <r>
      <rPr>
        <sz val="11"/>
        <color theme="1"/>
        <rFont val="Calibri"/>
        <family val="2"/>
        <scheme val="minor"/>
      </rPr>
      <t xml:space="preserve"> an "outcome" in the interventional group</t>
    </r>
  </si>
  <si>
    <r>
      <t xml:space="preserve">95% CI for </t>
    </r>
    <r>
      <rPr>
        <i/>
        <sz val="11"/>
        <color theme="1"/>
        <rFont val="Calibri"/>
        <family val="2"/>
        <scheme val="minor"/>
      </rPr>
      <t>ln</t>
    </r>
    <r>
      <rPr>
        <sz val="11"/>
        <color theme="1"/>
        <rFont val="Calibri"/>
        <family val="2"/>
        <scheme val="minor"/>
      </rPr>
      <t>OR</t>
    </r>
  </si>
  <si>
    <t>Using whole #s for number of events</t>
  </si>
  <si>
    <t>Using unrounded #s for number of events</t>
  </si>
  <si>
    <t>95% CI for OR</t>
  </si>
  <si>
    <t>Note: Included figures/arrows/etc. are positioned according to document scaling at 100%. Different scaling may affect the positioning of figures/arrows/etc.</t>
  </si>
  <si>
    <r>
      <t>ln</t>
    </r>
    <r>
      <rPr>
        <sz val="11"/>
        <color theme="1"/>
        <rFont val="Calibri"/>
        <family val="2"/>
        <scheme val="minor"/>
      </rPr>
      <t>OR</t>
    </r>
  </si>
  <si>
    <r>
      <t xml:space="preserve">Estimated risk of reaching  </t>
    </r>
    <r>
      <rPr>
        <i/>
        <sz val="11"/>
        <color theme="1"/>
        <rFont val="Calibri"/>
        <family val="2"/>
        <scheme val="minor"/>
      </rPr>
      <t>at least</t>
    </r>
    <r>
      <rPr>
        <sz val="11"/>
        <color theme="1"/>
        <rFont val="Calibri"/>
        <family val="2"/>
        <scheme val="minor"/>
      </rPr>
      <t xml:space="preserve"> the definition of an "outcome" in the interventional group</t>
    </r>
  </si>
  <si>
    <t>Yes</t>
  </si>
  <si>
    <t>ARD (proportion)</t>
  </si>
  <si>
    <t>NNT intermediate</t>
  </si>
  <si>
    <t>Absolute risk difference intermediate</t>
  </si>
  <si>
    <t>Risk A</t>
  </si>
  <si>
    <t>RR</t>
  </si>
  <si>
    <t>Relative risk</t>
  </si>
  <si>
    <t xml:space="preserve">Note this is functionally equal to: </t>
  </si>
  <si>
    <r>
      <rPr>
        <b/>
        <i/>
        <sz val="11"/>
        <color theme="1"/>
        <rFont val="Calibri"/>
        <family val="2"/>
        <scheme val="minor"/>
      </rPr>
      <t>Cutoff</t>
    </r>
    <r>
      <rPr>
        <sz val="11"/>
        <color theme="1"/>
        <rFont val="Calibri"/>
        <family val="2"/>
        <scheme val="minor"/>
      </rPr>
      <t>: Score change cutoff signaling the defined "outcome" (can be in SD units)</t>
    </r>
  </si>
  <si>
    <r>
      <rPr>
        <b/>
        <i/>
        <sz val="11"/>
        <color theme="1"/>
        <rFont val="Calibri"/>
        <family val="2"/>
        <scheme val="minor"/>
      </rPr>
      <t>Change.control</t>
    </r>
    <r>
      <rPr>
        <sz val="11"/>
        <color theme="1"/>
        <rFont val="Calibri"/>
        <family val="2"/>
        <scheme val="minor"/>
      </rPr>
      <t>: Mean/median change in the score in the control group (can be in SD units)</t>
    </r>
  </si>
  <si>
    <r>
      <rPr>
        <b/>
        <i/>
        <sz val="11"/>
        <color theme="1"/>
        <rFont val="Calibri"/>
        <family val="2"/>
        <scheme val="minor"/>
      </rPr>
      <t>SD.control</t>
    </r>
    <r>
      <rPr>
        <sz val="11"/>
        <color theme="1"/>
        <rFont val="Calibri"/>
        <family val="2"/>
        <scheme val="minor"/>
      </rPr>
      <t>: Standard deviation of the score change in the control group (enter "1" if using SD units)</t>
    </r>
  </si>
  <si>
    <r>
      <rPr>
        <b/>
        <i/>
        <sz val="11"/>
        <color theme="1"/>
        <rFont val="Calibri"/>
        <family val="2"/>
        <scheme val="minor"/>
      </rPr>
      <t>Change.interventional</t>
    </r>
    <r>
      <rPr>
        <sz val="11"/>
        <color theme="1"/>
        <rFont val="Calibri"/>
        <family val="2"/>
        <scheme val="minor"/>
      </rPr>
      <t>: Mean/median change in the score in the interventional group (can be in SD units)</t>
    </r>
  </si>
  <si>
    <r>
      <rPr>
        <b/>
        <i/>
        <sz val="11"/>
        <color theme="1"/>
        <rFont val="Calibri"/>
        <family val="2"/>
        <scheme val="minor"/>
      </rPr>
      <t>SD.interventional</t>
    </r>
    <r>
      <rPr>
        <sz val="11"/>
        <color theme="1"/>
        <rFont val="Calibri"/>
        <family val="2"/>
        <scheme val="minor"/>
      </rPr>
      <t>: Standard deviation of the score change in the interventional group (enter "1" if using SD units)</t>
    </r>
  </si>
  <si>
    <t>(Cutoff - Change.control)/SD.control</t>
  </si>
  <si>
    <t>(Cutoff - Change.interventional)/SD.interventional</t>
  </si>
  <si>
    <t>Estimate of standard error for risk difference</t>
  </si>
  <si>
    <t>ARD</t>
  </si>
  <si>
    <t>If a single trial (see Thorlund et al. 2011)</t>
  </si>
  <si>
    <t>Risk B</t>
  </si>
  <si>
    <t>(1)</t>
  </si>
  <si>
    <t>(2)</t>
  </si>
  <si>
    <t>OR intermediate</t>
  </si>
  <si>
    <t>Override?</t>
  </si>
  <si>
    <r>
      <t xml:space="preserve">Estimated risk of having </t>
    </r>
    <r>
      <rPr>
        <i/>
        <sz val="11"/>
        <color theme="1"/>
        <rFont val="Calibri"/>
        <family val="2"/>
        <scheme val="minor"/>
      </rPr>
      <t>at least</t>
    </r>
    <r>
      <rPr>
        <sz val="11"/>
        <color theme="1"/>
        <rFont val="Calibri"/>
        <family val="2"/>
        <scheme val="minor"/>
      </rPr>
      <t xml:space="preserve"> an "outcome" in the interventional group - intermediate</t>
    </r>
  </si>
  <si>
    <r>
      <t xml:space="preserve">Estimated odds of having </t>
    </r>
    <r>
      <rPr>
        <i/>
        <sz val="11"/>
        <color theme="1"/>
        <rFont val="Calibri"/>
        <family val="2"/>
        <scheme val="minor"/>
      </rPr>
      <t>at least</t>
    </r>
    <r>
      <rPr>
        <sz val="11"/>
        <color theme="1"/>
        <rFont val="Calibri"/>
        <family val="2"/>
        <scheme val="minor"/>
      </rPr>
      <t xml:space="preserve"> an "outcome" in the interventional group - intermediate</t>
    </r>
  </si>
  <si>
    <t>depending on how the cutoff is defined (which in turn affects the nature of the SMD)</t>
  </si>
  <si>
    <r>
      <rPr>
        <b/>
        <u/>
        <sz val="11"/>
        <color theme="1"/>
        <rFont val="Calibri"/>
        <family val="2"/>
        <scheme val="minor"/>
      </rPr>
      <t>Q1</t>
    </r>
    <r>
      <rPr>
        <sz val="11"/>
        <color theme="1"/>
        <rFont val="Calibri"/>
        <family val="2"/>
        <scheme val="minor"/>
      </rPr>
      <t>. Do you want to use Furukawa's method?</t>
    </r>
  </si>
  <si>
    <r>
      <rPr>
        <b/>
        <u/>
        <sz val="11"/>
        <color theme="1"/>
        <rFont val="Calibri"/>
        <family val="2"/>
        <scheme val="minor"/>
      </rPr>
      <t>Q2.</t>
    </r>
    <r>
      <rPr>
        <sz val="11"/>
        <color theme="1"/>
        <rFont val="Calibri"/>
        <family val="2"/>
        <scheme val="minor"/>
      </rPr>
      <t xml:space="preserve"> Do you want to use Suissa's method?</t>
    </r>
  </si>
  <si>
    <r>
      <rPr>
        <b/>
        <u/>
        <sz val="11"/>
        <color theme="1"/>
        <rFont val="Calibri"/>
        <family val="2"/>
        <scheme val="minor"/>
      </rPr>
      <t>Q3.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Cutoff</t>
    </r>
    <r>
      <rPr>
        <sz val="11"/>
        <color theme="1"/>
        <rFont val="Calibri"/>
        <family val="2"/>
        <scheme val="minor"/>
      </rPr>
      <t>: Score change cutoff signaling the defined "outcome" (can be in SD units)</t>
    </r>
  </si>
  <si>
    <r>
      <rPr>
        <b/>
        <u/>
        <sz val="11"/>
        <color theme="1"/>
        <rFont val="Calibri"/>
        <family val="2"/>
        <scheme val="minor"/>
      </rPr>
      <t>Q6.</t>
    </r>
    <r>
      <rPr>
        <b/>
        <sz val="11"/>
        <color theme="1"/>
        <rFont val="Calibri"/>
        <family val="2"/>
        <scheme val="minor"/>
      </rPr>
      <t xml:space="preserve"> Is a </t>
    </r>
    <r>
      <rPr>
        <b/>
        <i/>
        <u/>
        <sz val="11"/>
        <color theme="1"/>
        <rFont val="Calibri"/>
        <family val="2"/>
        <scheme val="minor"/>
      </rPr>
      <t>decrease</t>
    </r>
    <r>
      <rPr>
        <b/>
        <sz val="11"/>
        <color theme="1"/>
        <rFont val="Calibri"/>
        <family val="2"/>
        <scheme val="minor"/>
      </rPr>
      <t xml:space="preserve"> in the number of people experiencing an "outcome" </t>
    </r>
    <r>
      <rPr>
        <b/>
        <i/>
        <u/>
        <sz val="11"/>
        <color theme="1"/>
        <rFont val="Calibri"/>
        <family val="2"/>
        <scheme val="minor"/>
      </rPr>
      <t>beneficial</t>
    </r>
    <r>
      <rPr>
        <b/>
        <sz val="11"/>
        <color theme="1"/>
        <rFont val="Calibri"/>
        <family val="2"/>
        <scheme val="minor"/>
      </rPr>
      <t xml:space="preserve"> or </t>
    </r>
    <r>
      <rPr>
        <b/>
        <i/>
        <u/>
        <sz val="11"/>
        <color theme="1"/>
        <rFont val="Calibri"/>
        <family val="2"/>
        <scheme val="minor"/>
      </rPr>
      <t>harmful</t>
    </r>
    <r>
      <rPr>
        <b/>
        <sz val="11"/>
        <color theme="1"/>
        <rFont val="Calibri"/>
        <family val="2"/>
        <scheme val="minor"/>
      </rPr>
      <t>?</t>
    </r>
  </si>
  <si>
    <r>
      <rPr>
        <b/>
        <u/>
        <sz val="11"/>
        <color theme="1"/>
        <rFont val="Calibri"/>
        <family val="2"/>
        <scheme val="minor"/>
      </rPr>
      <t>Q8.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Change.control</t>
    </r>
    <r>
      <rPr>
        <sz val="11"/>
        <color theme="1"/>
        <rFont val="Calibri"/>
        <family val="2"/>
        <scheme val="minor"/>
      </rPr>
      <t>: Mean/median change in the score in the control group (can be in SD units)</t>
    </r>
  </si>
  <si>
    <r>
      <rPr>
        <b/>
        <u/>
        <sz val="11"/>
        <color theme="1"/>
        <rFont val="Calibri"/>
        <family val="2"/>
        <scheme val="minor"/>
      </rPr>
      <t>Q9.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SD.control</t>
    </r>
    <r>
      <rPr>
        <sz val="11"/>
        <color theme="1"/>
        <rFont val="Calibri"/>
        <family val="2"/>
        <scheme val="minor"/>
      </rPr>
      <t>: Standard deviation of the score change in the control group (enter "1" if using SD units)</t>
    </r>
  </si>
  <si>
    <r>
      <rPr>
        <b/>
        <u/>
        <sz val="11"/>
        <color theme="1"/>
        <rFont val="Calibri"/>
        <family val="2"/>
        <scheme val="minor"/>
      </rPr>
      <t>Q10.</t>
    </r>
    <r>
      <rPr>
        <sz val="11"/>
        <color theme="1"/>
        <rFont val="Calibri"/>
        <family val="2"/>
        <scheme val="minor"/>
      </rPr>
      <t xml:space="preserve"> Which estimated risk of reaching </t>
    </r>
    <r>
      <rPr>
        <i/>
        <sz val="11"/>
        <color theme="1"/>
        <rFont val="Calibri"/>
        <family val="2"/>
        <scheme val="minor"/>
      </rPr>
      <t>at least</t>
    </r>
    <r>
      <rPr>
        <sz val="11"/>
        <color theme="1"/>
        <rFont val="Calibri"/>
        <family val="2"/>
        <scheme val="minor"/>
      </rPr>
      <t xml:space="preserve"> the definition of an "outcome" in the control group do you want to use?</t>
    </r>
  </si>
  <si>
    <r>
      <rPr>
        <b/>
        <u/>
        <sz val="11"/>
        <color theme="1"/>
        <rFont val="Calibri"/>
        <family val="2"/>
        <scheme val="minor"/>
      </rPr>
      <t>Q12.</t>
    </r>
    <r>
      <rPr>
        <b/>
        <i/>
        <sz val="11"/>
        <color theme="1"/>
        <rFont val="Calibri"/>
        <family val="2"/>
        <scheme val="minor"/>
      </rPr>
      <t xml:space="preserve"> Change.interventional</t>
    </r>
    <r>
      <rPr>
        <sz val="11"/>
        <color theme="1"/>
        <rFont val="Calibri"/>
        <family val="2"/>
        <scheme val="minor"/>
      </rPr>
      <t>: Mean/median change in the score in the interventional group (can be in SD units)</t>
    </r>
  </si>
  <si>
    <r>
      <rPr>
        <b/>
        <u/>
        <sz val="11"/>
        <color theme="1"/>
        <rFont val="Calibri"/>
        <family val="2"/>
        <scheme val="minor"/>
      </rPr>
      <t>Q13.</t>
    </r>
    <r>
      <rPr>
        <b/>
        <i/>
        <sz val="11"/>
        <color theme="1"/>
        <rFont val="Calibri"/>
        <family val="2"/>
        <scheme val="minor"/>
      </rPr>
      <t xml:space="preserve"> SD.interventional</t>
    </r>
    <r>
      <rPr>
        <sz val="11"/>
        <color theme="1"/>
        <rFont val="Calibri"/>
        <family val="2"/>
        <scheme val="minor"/>
      </rPr>
      <t>: Standard deviation of the score change in the interventional group (enter "1" if using SD units)</t>
    </r>
  </si>
  <si>
    <r>
      <rPr>
        <b/>
        <u/>
        <sz val="11"/>
        <color theme="1"/>
        <rFont val="Calibri"/>
        <family val="2"/>
        <scheme val="minor"/>
      </rPr>
      <t>Q14.</t>
    </r>
    <r>
      <rPr>
        <sz val="11"/>
        <color theme="1"/>
        <rFont val="Calibri"/>
        <family val="2"/>
        <scheme val="minor"/>
      </rPr>
      <t xml:space="preserve"> Which estimated risk of reaching </t>
    </r>
    <r>
      <rPr>
        <i/>
        <sz val="11"/>
        <color theme="1"/>
        <rFont val="Calibri"/>
        <family val="2"/>
        <scheme val="minor"/>
      </rPr>
      <t>at least</t>
    </r>
    <r>
      <rPr>
        <sz val="11"/>
        <color theme="1"/>
        <rFont val="Calibri"/>
        <family val="2"/>
        <scheme val="minor"/>
      </rPr>
      <t xml:space="preserve"> the definition of an "outcome" in the interventional group do you want to use?</t>
    </r>
  </si>
  <si>
    <r>
      <rPr>
        <b/>
        <u/>
        <sz val="11"/>
        <color theme="1"/>
        <rFont val="Calibri"/>
        <family val="2"/>
        <scheme val="minor"/>
      </rPr>
      <t>Q4.</t>
    </r>
    <r>
      <rPr>
        <b/>
        <sz val="11"/>
        <color theme="1"/>
        <rFont val="Calibri"/>
        <family val="2"/>
        <scheme val="minor"/>
      </rPr>
      <t xml:space="preserve"> Standardized mean difference</t>
    </r>
  </si>
  <si>
    <r>
      <rPr>
        <b/>
        <u/>
        <sz val="11"/>
        <color theme="1"/>
        <rFont val="Calibri"/>
        <family val="2"/>
        <scheme val="minor"/>
      </rPr>
      <t>Q5.</t>
    </r>
    <r>
      <rPr>
        <b/>
        <sz val="11"/>
        <color theme="1"/>
        <rFont val="Calibri"/>
        <family val="2"/>
        <scheme val="minor"/>
      </rPr>
      <t xml:space="preserve"> Is a </t>
    </r>
    <r>
      <rPr>
        <b/>
        <i/>
        <u/>
        <sz val="11"/>
        <color theme="1"/>
        <rFont val="Calibri"/>
        <family val="2"/>
        <scheme val="minor"/>
      </rPr>
      <t>negative</t>
    </r>
    <r>
      <rPr>
        <b/>
        <sz val="11"/>
        <color theme="1"/>
        <rFont val="Calibri"/>
        <family val="2"/>
        <scheme val="minor"/>
      </rPr>
      <t xml:space="preserve"> standardized mean difference </t>
    </r>
    <r>
      <rPr>
        <b/>
        <i/>
        <u/>
        <sz val="11"/>
        <color theme="1"/>
        <rFont val="Calibri"/>
        <family val="2"/>
        <scheme val="minor"/>
      </rPr>
      <t>beneficial</t>
    </r>
    <r>
      <rPr>
        <b/>
        <sz val="11"/>
        <color theme="1"/>
        <rFont val="Calibri"/>
        <family val="2"/>
        <scheme val="minor"/>
      </rPr>
      <t xml:space="preserve"> or </t>
    </r>
    <r>
      <rPr>
        <b/>
        <i/>
        <u/>
        <sz val="11"/>
        <color theme="1"/>
        <rFont val="Calibri"/>
        <family val="2"/>
        <scheme val="minor"/>
      </rPr>
      <t>harmful</t>
    </r>
    <r>
      <rPr>
        <b/>
        <sz val="11"/>
        <color theme="1"/>
        <rFont val="Calibri"/>
        <family val="2"/>
        <scheme val="minor"/>
      </rPr>
      <t>?</t>
    </r>
  </si>
  <si>
    <t>Results</t>
  </si>
  <si>
    <r>
      <rPr>
        <b/>
        <u/>
        <sz val="11"/>
        <color theme="1"/>
        <rFont val="Calibri"/>
        <family val="2"/>
        <scheme val="minor"/>
      </rPr>
      <t>Q7.</t>
    </r>
    <r>
      <rPr>
        <sz val="11"/>
        <color theme="1"/>
        <rFont val="Calibri"/>
        <family val="2"/>
        <scheme val="minor"/>
      </rPr>
      <t xml:space="preserve"> Number of people in control group</t>
    </r>
  </si>
  <si>
    <r>
      <rPr>
        <b/>
        <u/>
        <sz val="11"/>
        <color theme="1"/>
        <rFont val="Calibri"/>
        <family val="2"/>
        <scheme val="minor"/>
      </rPr>
      <t>Q11.</t>
    </r>
    <r>
      <rPr>
        <sz val="11"/>
        <color theme="1"/>
        <rFont val="Calibri"/>
        <family val="2"/>
        <scheme val="minor"/>
      </rPr>
      <t xml:space="preserve"> Number of people in interventional group</t>
    </r>
  </si>
  <si>
    <t>Entry</t>
  </si>
  <si>
    <r>
      <rPr>
        <b/>
        <sz val="11"/>
        <color theme="1"/>
        <rFont val="Calibri"/>
        <family val="2"/>
        <scheme val="minor"/>
      </rPr>
      <t>Risk A:</t>
    </r>
    <r>
      <rPr>
        <sz val="11"/>
        <color theme="1"/>
        <rFont val="Calibri"/>
        <family val="2"/>
        <scheme val="minor"/>
      </rPr>
      <t xml:space="preserve"> Estimated risk of reaching </t>
    </r>
    <r>
      <rPr>
        <i/>
        <sz val="11"/>
        <color theme="1"/>
        <rFont val="Calibri"/>
        <family val="2"/>
        <scheme val="minor"/>
      </rPr>
      <t>at least</t>
    </r>
    <r>
      <rPr>
        <sz val="11"/>
        <color theme="1"/>
        <rFont val="Calibri"/>
        <family val="2"/>
        <scheme val="minor"/>
      </rPr>
      <t xml:space="preserve"> the definition of an "outcome" in the control group </t>
    </r>
    <r>
      <rPr>
        <b/>
        <i/>
        <sz val="11"/>
        <color theme="1"/>
        <rFont val="Calibri"/>
        <family val="2"/>
        <scheme val="minor"/>
      </rPr>
      <t>based on Q3, Q8, &amp; Q9</t>
    </r>
  </si>
  <si>
    <r>
      <rPr>
        <b/>
        <sz val="11"/>
        <color theme="1"/>
        <rFont val="Calibri"/>
        <family val="2"/>
        <scheme val="minor"/>
      </rPr>
      <t>Risk A:</t>
    </r>
    <r>
      <rPr>
        <sz val="11"/>
        <color theme="1"/>
        <rFont val="Calibri"/>
        <family val="2"/>
        <scheme val="minor"/>
      </rPr>
      <t xml:space="preserve"> Estimated risk of reaching </t>
    </r>
    <r>
      <rPr>
        <i/>
        <sz val="11"/>
        <color theme="1"/>
        <rFont val="Calibri"/>
        <family val="2"/>
        <scheme val="minor"/>
      </rPr>
      <t>at least</t>
    </r>
    <r>
      <rPr>
        <sz val="11"/>
        <color theme="1"/>
        <rFont val="Calibri"/>
        <family val="2"/>
        <scheme val="minor"/>
      </rPr>
      <t xml:space="preserve"> the definition of an "outcome" in the interventional group </t>
    </r>
    <r>
      <rPr>
        <b/>
        <i/>
        <sz val="11"/>
        <color theme="1"/>
        <rFont val="Calibri"/>
        <family val="2"/>
        <scheme val="minor"/>
      </rPr>
      <t>based on Q3, Q12, &amp; Q13</t>
    </r>
  </si>
  <si>
    <t>Created by Martin (Marty) Mayer, DMSc, MS, PA-C</t>
  </si>
  <si>
    <t>Harmful</t>
  </si>
  <si>
    <t>No</t>
  </si>
  <si>
    <t>Terms of use</t>
  </si>
  <si>
    <t>or lower</t>
  </si>
  <si>
    <t>If establishing the probability of reaching at least the defined outcome on the basis of a cutoff for a scoring system, you must complete Q3. Alternatively, you can enter the probabilities manually (fill out "Risk B" and select that as the risk to be used in calculations).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</si>
</sst>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000000000000"/>
    <numFmt numFmtId="166" formatCode="0.000000000"/>
    <numFmt numFmtId="167" formatCode="0.00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4" xfId="0" applyBorder="1"/>
    <xf numFmtId="0" fontId="3" fillId="0" borderId="0" xfId="0" applyFont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3" fillId="0" borderId="0" xfId="0" applyFont="1"/>
    <xf numFmtId="2" fontId="0" fillId="0" borderId="0" xfId="0" applyNumberFormat="1"/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5" fillId="0" borderId="0" xfId="0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1" applyAlignment="1">
      <alignment horizontal="right"/>
    </xf>
    <xf numFmtId="166" fontId="0" fillId="0" borderId="0" xfId="0" applyNumberFormat="1"/>
    <xf numFmtId="3" fontId="0" fillId="0" borderId="0" xfId="0" applyNumberFormat="1"/>
    <xf numFmtId="167" fontId="0" fillId="0" borderId="0" xfId="0" applyNumberFormat="1"/>
    <xf numFmtId="0" fontId="0" fillId="0" borderId="1" xfId="0" applyBorder="1" applyProtection="1"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border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vertical/>
        <horizontal/>
      </border>
    </dxf>
    <dxf>
      <font>
        <color theme="0"/>
      </font>
      <border>
        <left/>
        <right/>
        <top/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ont>
        <color auto="1"/>
      </font>
      <border>
        <lef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200024</xdr:colOff>
      <xdr:row>26</xdr:row>
      <xdr:rowOff>25581</xdr:rowOff>
    </xdr:from>
    <xdr:to>
      <xdr:col>10</xdr:col>
      <xdr:colOff>335991</xdr:colOff>
      <xdr:row>31</xdr:row>
      <xdr:rowOff>31592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462F995-0056-4588-A5A3-EE63A211F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67974" y="4438831"/>
          <a:ext cx="3183967" cy="92676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3</xdr:col>
      <xdr:colOff>66675</xdr:colOff>
      <xdr:row>29</xdr:row>
      <xdr:rowOff>95250</xdr:rowOff>
    </xdr:from>
    <xdr:to>
      <xdr:col>5</xdr:col>
      <xdr:colOff>6350</xdr:colOff>
      <xdr:row>29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52397A32-411E-467D-B9AA-C162CA6854D5}"/>
            </a:ext>
          </a:extLst>
        </xdr:cNvPr>
        <xdr:cNvCxnSpPr/>
      </xdr:nvCxnSpPr>
      <xdr:spPr>
        <a:xfrm>
          <a:off x="8848725" y="5060950"/>
          <a:ext cx="14255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252997</xdr:colOff>
      <xdr:row>14</xdr:row>
      <xdr:rowOff>25995</xdr:rowOff>
    </xdr:from>
    <xdr:to>
      <xdr:col>10</xdr:col>
      <xdr:colOff>418432</xdr:colOff>
      <xdr:row>16</xdr:row>
      <xdr:rowOff>44581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E717CB7-2C29-4422-809E-80965978C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20947" y="2737445"/>
          <a:ext cx="3213435" cy="41228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4</xdr:col>
      <xdr:colOff>50133</xdr:colOff>
      <xdr:row>15</xdr:row>
      <xdr:rowOff>150395</xdr:rowOff>
    </xdr:from>
    <xdr:to>
      <xdr:col>5</xdr:col>
      <xdr:colOff>8355</xdr:colOff>
      <xdr:row>19</xdr:row>
      <xdr:rowOff>53475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A77AAA2-9B26-48B9-A2AA-BF9EC30AAB25}"/>
            </a:ext>
          </a:extLst>
        </xdr:cNvPr>
        <xdr:cNvCxnSpPr/>
      </xdr:nvCxnSpPr>
      <xdr:spPr>
        <a:xfrm flipV="1">
          <a:off x="9717172" y="2915987"/>
          <a:ext cx="568157" cy="68012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794109</xdr:colOff>
      <xdr:row>14</xdr:row>
      <xdr:rowOff>10694</xdr:rowOff>
    </xdr:from>
    <xdr:ext cx="1511183" cy="1749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7F05F6C-1555-4936-AB57-F031FF886299}"/>
                </a:ext>
              </a:extLst>
            </xdr:cNvPr>
            <xdr:cNvSpPr txBox="1"/>
          </xdr:nvSpPr>
          <xdr:spPr>
            <a:xfrm>
              <a:off x="15912817" y="2764739"/>
              <a:ext cx="1511183" cy="174984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𝜑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(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𝜑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−1</m:t>
                        </m:r>
                      </m:sup>
                    </m:sSup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𝑟𝑖𝑠𝑘</m:t>
                            </m:r>
                          </m:e>
                          <m:sub>
                            <m:r>
                              <a:rPr lang="en-US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𝑐𝑜𝑛</m:t>
                            </m:r>
                          </m:sub>
                        </m:sSub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𝑆𝑀𝐷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07F05F6C-1555-4936-AB57-F031FF886299}"/>
                </a:ext>
              </a:extLst>
            </xdr:cNvPr>
            <xdr:cNvSpPr txBox="1"/>
          </xdr:nvSpPr>
          <xdr:spPr>
            <a:xfrm>
              <a:off x="15912817" y="2764739"/>
              <a:ext cx="1511183" cy="174984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𝜑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^(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−1) (〖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𝑟𝑖𝑠𝑘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〗_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𝑐𝑜𝑛 )−𝑆𝑀𝐷)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255673</xdr:colOff>
      <xdr:row>17</xdr:row>
      <xdr:rowOff>25067</xdr:rowOff>
    </xdr:from>
    <xdr:ext cx="2263440" cy="3536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294CC0C-8C7A-4A7E-8BD3-CDF4445A4167}"/>
                </a:ext>
              </a:extLst>
            </xdr:cNvPr>
            <xdr:cNvSpPr txBox="1"/>
          </xdr:nvSpPr>
          <xdr:spPr>
            <a:xfrm>
              <a:off x="10523623" y="3327067"/>
              <a:ext cx="2263440" cy="353623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45720" tIns="45720" rIns="45720" bIns="4572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𝜑</m:t>
                    </m:r>
                    <m:r>
                      <a:rPr lang="en-US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(</m:t>
                    </m:r>
                    <m:sSup>
                      <m:sSupPr>
                        <m:ctrlP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𝑆𝑀𝐷</m:t>
                        </m:r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𝜑</m:t>
                        </m:r>
                      </m:e>
                      <m:sup>
                        <m: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−1</m:t>
                        </m:r>
                      </m:sup>
                    </m:sSup>
                    <m:d>
                      <m:dPr>
                        <m:ctrlPr>
                          <a:rPr lang="en-US" sz="16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𝑟𝑖𝑠𝑘</m:t>
                            </m:r>
                          </m:e>
                          <m:sub>
                            <m:r>
                              <a:rPr lang="en-US" sz="16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𝑐𝑜𝑛</m:t>
                            </m:r>
                          </m:sub>
                        </m:sSub>
                      </m:e>
                    </m:d>
                    <m:r>
                      <a:rPr lang="en-US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US" sz="16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294CC0C-8C7A-4A7E-8BD3-CDF4445A4167}"/>
                </a:ext>
              </a:extLst>
            </xdr:cNvPr>
            <xdr:cNvSpPr txBox="1"/>
          </xdr:nvSpPr>
          <xdr:spPr>
            <a:xfrm>
              <a:off x="10523623" y="3327067"/>
              <a:ext cx="2263440" cy="353623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45720" tIns="45720" rIns="45720" bIns="45720" rtlCol="0" anchor="t">
              <a:spAutoFit/>
            </a:bodyPr>
            <a:lstStyle/>
            <a:p>
              <a:pPr/>
              <a:r>
                <a:rPr lang="en-US" sz="16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</a:t>
              </a:r>
              <a:r>
                <a:rPr lang="en-US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〖𝑆𝑀𝐷+𝜑〗^(−1) (〖𝑟𝑖𝑠𝑘〗_𝑐𝑜𝑛 )</a:t>
              </a:r>
              <a:r>
                <a:rPr lang="en-US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</a:t>
              </a:r>
              <a:endParaRPr lang="en-US" sz="1600"/>
            </a:p>
          </xdr:txBody>
        </xdr:sp>
      </mc:Fallback>
    </mc:AlternateContent>
    <xdr:clientData/>
  </xdr:oneCellAnchor>
  <xdr:twoCellAnchor>
    <xdr:from>
      <xdr:col>4</xdr:col>
      <xdr:colOff>93914</xdr:colOff>
      <xdr:row>18</xdr:row>
      <xdr:rowOff>58487</xdr:rowOff>
    </xdr:from>
    <xdr:to>
      <xdr:col>4</xdr:col>
      <xdr:colOff>559803</xdr:colOff>
      <xdr:row>19</xdr:row>
      <xdr:rowOff>88899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741B4834-E48B-47D3-92DD-C9B2731A4405}"/>
            </a:ext>
          </a:extLst>
        </xdr:cNvPr>
        <xdr:cNvCxnSpPr/>
      </xdr:nvCxnSpPr>
      <xdr:spPr>
        <a:xfrm flipV="1">
          <a:off x="9760953" y="3417303"/>
          <a:ext cx="465889" cy="21422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25</xdr:row>
      <xdr:rowOff>56363</xdr:rowOff>
    </xdr:from>
    <xdr:to>
      <xdr:col>12</xdr:col>
      <xdr:colOff>552450</xdr:colOff>
      <xdr:row>30</xdr:row>
      <xdr:rowOff>38399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B8411D3-B0E4-459C-B3C2-2EBD7297E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6125" y="4561688"/>
          <a:ext cx="4772025" cy="91231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5</xdr:col>
      <xdr:colOff>38100</xdr:colOff>
      <xdr:row>33</xdr:row>
      <xdr:rowOff>10735</xdr:rowOff>
    </xdr:from>
    <xdr:to>
      <xdr:col>12</xdr:col>
      <xdr:colOff>552450</xdr:colOff>
      <xdr:row>37</xdr:row>
      <xdr:rowOff>98137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CBCE442-BFD4-419F-97B1-B34F1978F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96600" y="5963860"/>
          <a:ext cx="4781550" cy="81130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</xdr:col>
      <xdr:colOff>76200</xdr:colOff>
      <xdr:row>27</xdr:row>
      <xdr:rowOff>19050</xdr:rowOff>
    </xdr:from>
    <xdr:to>
      <xdr:col>4</xdr:col>
      <xdr:colOff>590550</xdr:colOff>
      <xdr:row>29</xdr:row>
      <xdr:rowOff>0</xdr:rowOff>
    </xdr:to>
    <xdr:sp macro="" textlink="">
      <xdr:nvSpPr>
        <xdr:cNvPr id="14" name="Left Brace 13">
          <a:extLst>
            <a:ext uri="{FF2B5EF4-FFF2-40B4-BE49-F238E27FC236}">
              <a16:creationId xmlns:a16="http://schemas.microsoft.com/office/drawing/2014/main" id="{F309A846-B0F9-4685-9DA5-DFDFE8F8E995}"/>
            </a:ext>
          </a:extLst>
        </xdr:cNvPr>
        <xdr:cNvSpPr/>
      </xdr:nvSpPr>
      <xdr:spPr>
        <a:xfrm rot="10800000">
          <a:off x="8591550" y="4886325"/>
          <a:ext cx="2247900" cy="342900"/>
        </a:xfrm>
        <a:prstGeom prst="leftBrace">
          <a:avLst>
            <a:gd name="adj1" fmla="val 8333"/>
            <a:gd name="adj2" fmla="val 5194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27215</xdr:colOff>
      <xdr:row>30</xdr:row>
      <xdr:rowOff>136071</xdr:rowOff>
    </xdr:from>
    <xdr:to>
      <xdr:col>4</xdr:col>
      <xdr:colOff>533400</xdr:colOff>
      <xdr:row>35</xdr:row>
      <xdr:rowOff>47625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D91D6966-8950-49D6-9C45-8800DC645316}"/>
            </a:ext>
          </a:extLst>
        </xdr:cNvPr>
        <xdr:cNvCxnSpPr/>
      </xdr:nvCxnSpPr>
      <xdr:spPr>
        <a:xfrm>
          <a:off x="10150929" y="5597071"/>
          <a:ext cx="3028042" cy="81869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25400</xdr:colOff>
      <xdr:row>39</xdr:row>
      <xdr:rowOff>158750</xdr:rowOff>
    </xdr:from>
    <xdr:to>
      <xdr:col>4</xdr:col>
      <xdr:colOff>501650</xdr:colOff>
      <xdr:row>44</xdr:row>
      <xdr:rowOff>19050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303F61D1-3888-4FB7-9C88-B3DB3EE6A5C1}"/>
            </a:ext>
          </a:extLst>
        </xdr:cNvPr>
        <xdr:cNvSpPr/>
      </xdr:nvSpPr>
      <xdr:spPr>
        <a:xfrm>
          <a:off x="12674600" y="7616825"/>
          <a:ext cx="476250" cy="765175"/>
        </a:xfrm>
        <a:prstGeom prst="rightBrace">
          <a:avLst>
            <a:gd name="adj1" fmla="val 8333"/>
            <a:gd name="adj2" fmla="val 59514"/>
          </a:avLst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1619250</xdr:colOff>
      <xdr:row>39</xdr:row>
      <xdr:rowOff>149225</xdr:rowOff>
    </xdr:from>
    <xdr:to>
      <xdr:col>4</xdr:col>
      <xdr:colOff>28575</xdr:colOff>
      <xdr:row>39</xdr:row>
      <xdr:rowOff>158750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21D91BD-3A35-49C9-B71A-C46763CB431B}"/>
            </a:ext>
          </a:extLst>
        </xdr:cNvPr>
        <xdr:cNvCxnSpPr/>
      </xdr:nvCxnSpPr>
      <xdr:spPr>
        <a:xfrm flipH="1" flipV="1">
          <a:off x="1619250" y="7607300"/>
          <a:ext cx="11058525" cy="95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1644650</xdr:colOff>
      <xdr:row>44</xdr:row>
      <xdr:rowOff>9525</xdr:rowOff>
    </xdr:from>
    <xdr:to>
      <xdr:col>4</xdr:col>
      <xdr:colOff>57150</xdr:colOff>
      <xdr:row>44</xdr:row>
      <xdr:rowOff>15875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85220011-E211-45FB-A273-5A2FC516BB40}"/>
            </a:ext>
          </a:extLst>
        </xdr:cNvPr>
        <xdr:cNvCxnSpPr/>
      </xdr:nvCxnSpPr>
      <xdr:spPr>
        <a:xfrm flipH="1" flipV="1">
          <a:off x="1644650" y="8372475"/>
          <a:ext cx="11061700" cy="63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.cc/generaldisclaime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B5742-2F8F-441B-B57F-4F48D9F05B9E}">
  <dimension ref="A1:M44"/>
  <sheetViews>
    <sheetView tabSelected="1" zoomScaleNormal="100" workbookViewId="0">
      <selection activeCell="B3" sqref="B3"/>
    </sheetView>
  </sheetViews>
  <sheetFormatPr defaultRowHeight="14.5" x14ac:dyDescent="0.35"/>
  <cols>
    <col min="1" max="1" width="106.90625" style="6" customWidth="1"/>
    <col min="2" max="13" width="13.1796875" customWidth="1"/>
  </cols>
  <sheetData>
    <row r="1" spans="1:10" ht="26.5" thickBot="1" x14ac:dyDescent="0.65">
      <c r="A1" s="21" t="s">
        <v>91</v>
      </c>
    </row>
    <row r="2" spans="1:10" ht="15.5" thickTop="1" thickBot="1" x14ac:dyDescent="0.4">
      <c r="A2" s="6" t="s">
        <v>76</v>
      </c>
      <c r="B2" s="26" t="s">
        <v>50</v>
      </c>
      <c r="G2" t="s">
        <v>72</v>
      </c>
      <c r="H2" s="4" t="s">
        <v>96</v>
      </c>
    </row>
    <row r="3" spans="1:10" ht="15.5" thickTop="1" thickBot="1" x14ac:dyDescent="0.4">
      <c r="A3" s="6" t="s">
        <v>77</v>
      </c>
      <c r="B3" s="26" t="s">
        <v>50</v>
      </c>
    </row>
    <row r="4" spans="1:10" ht="15" customHeight="1" thickTop="1" x14ac:dyDescent="0.35">
      <c r="D4" s="28" t="s">
        <v>99</v>
      </c>
      <c r="E4" s="28"/>
      <c r="F4" s="28"/>
      <c r="G4" s="28"/>
      <c r="H4" s="28"/>
      <c r="I4" s="28"/>
      <c r="J4" s="28"/>
    </row>
    <row r="5" spans="1:10" ht="15" thickBot="1" x14ac:dyDescent="0.4">
      <c r="D5" s="28"/>
      <c r="E5" s="28"/>
      <c r="F5" s="28"/>
      <c r="G5" s="28"/>
      <c r="H5" s="28"/>
      <c r="I5" s="28"/>
      <c r="J5" s="28"/>
    </row>
    <row r="6" spans="1:10" ht="15.5" thickTop="1" thickBot="1" x14ac:dyDescent="0.4">
      <c r="A6" s="6" t="s">
        <v>78</v>
      </c>
      <c r="B6" s="26">
        <v>-1.2</v>
      </c>
      <c r="C6" s="26" t="s">
        <v>98</v>
      </c>
      <c r="D6" s="28"/>
      <c r="E6" s="28"/>
      <c r="F6" s="28"/>
      <c r="G6" s="28"/>
      <c r="H6" s="28"/>
      <c r="I6" s="28"/>
      <c r="J6" s="28"/>
    </row>
    <row r="7" spans="1:10" ht="15" thickTop="1" x14ac:dyDescent="0.35">
      <c r="B7" s="20" t="str">
        <f>IF(
OR(
AND(B11=B12,C6="or higher"),
AND(NOT(B11=B12),C6="or lower")),
"",
IF(
AND(B11=B12,C6="or lower"),"Check entries for Q3. Entries for Q5 &amp; Q6 suggest 'or higher' is appropriate.",
IF(AND(NOT(B11=B12),C6="or higher"),"Check entries for Q3. Entries for Q5 &amp; Q6 suggest 'or lower' is appropriate.",""))
)</f>
        <v/>
      </c>
    </row>
    <row r="8" spans="1:10" x14ac:dyDescent="0.35">
      <c r="B8" s="20"/>
    </row>
    <row r="9" spans="1:10" ht="15" thickBot="1" x14ac:dyDescent="0.4">
      <c r="B9" s="1" t="s">
        <v>1</v>
      </c>
      <c r="C9" s="1" t="s">
        <v>2</v>
      </c>
      <c r="D9" s="1" t="s">
        <v>3</v>
      </c>
    </row>
    <row r="10" spans="1:10" ht="15.5" thickTop="1" thickBot="1" x14ac:dyDescent="0.4">
      <c r="A10" s="7" t="s">
        <v>86</v>
      </c>
      <c r="B10" s="26">
        <v>-0.28000000000000003</v>
      </c>
      <c r="C10" s="26">
        <v>-0.35</v>
      </c>
      <c r="D10" s="26">
        <v>-0.2</v>
      </c>
      <c r="H10" s="24"/>
    </row>
    <row r="11" spans="1:10" ht="15.5" thickTop="1" thickBot="1" x14ac:dyDescent="0.4">
      <c r="A11" s="7" t="s">
        <v>87</v>
      </c>
      <c r="B11" s="26" t="s">
        <v>14</v>
      </c>
      <c r="H11" s="24"/>
    </row>
    <row r="12" spans="1:10" ht="15.5" thickTop="1" thickBot="1" x14ac:dyDescent="0.4">
      <c r="A12" s="7" t="s">
        <v>79</v>
      </c>
      <c r="B12" s="26" t="s">
        <v>95</v>
      </c>
    </row>
    <row r="13" spans="1:10" ht="15.5" thickTop="1" thickBot="1" x14ac:dyDescent="0.4"/>
    <row r="14" spans="1:10" ht="15.5" thickTop="1" thickBot="1" x14ac:dyDescent="0.4">
      <c r="A14" s="6" t="s">
        <v>89</v>
      </c>
      <c r="B14" s="26">
        <v>5180</v>
      </c>
    </row>
    <row r="15" spans="1:10" ht="15.5" thickTop="1" thickBot="1" x14ac:dyDescent="0.4">
      <c r="A15" s="6" t="s">
        <v>80</v>
      </c>
      <c r="B15" s="26">
        <v>-0.72</v>
      </c>
    </row>
    <row r="16" spans="1:10" ht="15.5" thickTop="1" thickBot="1" x14ac:dyDescent="0.4">
      <c r="A16" s="6" t="s">
        <v>81</v>
      </c>
      <c r="B16" s="26">
        <v>1</v>
      </c>
    </row>
    <row r="17" spans="1:13" ht="15" thickTop="1" x14ac:dyDescent="0.35">
      <c r="A17" s="6" t="s">
        <v>63</v>
      </c>
      <c r="B17">
        <f>IF(AND(ISNUMBER($B$6),ISNUMBER(B15),ISNUMBER(B16)),($B$6-B15)/B16,"")</f>
        <v>-0.48</v>
      </c>
    </row>
    <row r="18" spans="1:13" ht="15" thickBot="1" x14ac:dyDescent="0.4">
      <c r="A18" s="6" t="s">
        <v>92</v>
      </c>
      <c r="B18">
        <f>IF(AND(ISNUMBER($B$6),ISNUMBER(B15),ISNUMBER(B16)),IF(AND($C$6="or lower"),_xlfn.NORM.S.DIST(($B$6-B15)/B16,TRUE),IF(AND($C$6="or higher"),1-_xlfn.NORM.S.DIST(($B$6-B15)/B16,TRUE),"Confirm entries")),"")</f>
        <v>0.31561369651622256</v>
      </c>
      <c r="C18" t="str">
        <f>IF(AND(ISNUMBER($B$6),ISNUMBER(B15),ISNUMBER(B16)),IF(AND($C$6="or lower"),"NORM.S.DIST((Cutoff - Change.control)/SD.control,TRUE)",IF(AND($C$6="or higher"),"1-NORM.S.DIST((Cutoff - Change.control)/SD.control,TRUE)","Confirm entries")),"")</f>
        <v>NORM.S.DIST((Cutoff - Change.control)/SD.control,TRUE)</v>
      </c>
    </row>
    <row r="19" spans="1:13" ht="15.5" thickTop="1" thickBot="1" x14ac:dyDescent="0.4">
      <c r="A19" s="6" t="s">
        <v>22</v>
      </c>
      <c r="B19" s="26">
        <v>0.31</v>
      </c>
    </row>
    <row r="20" spans="1:13" ht="15.5" thickTop="1" thickBot="1" x14ac:dyDescent="0.4">
      <c r="A20" s="6" t="s">
        <v>82</v>
      </c>
      <c r="B20" s="26" t="s">
        <v>68</v>
      </c>
      <c r="C20">
        <f>IF(B20="Risk A",B18,IF(B20="Risk B",B19,"Please select which control group risk estimate you want to use."))</f>
        <v>0.31</v>
      </c>
    </row>
    <row r="21" spans="1:13" ht="15.5" thickTop="1" thickBot="1" x14ac:dyDescent="0.4"/>
    <row r="22" spans="1:13" ht="15.5" thickTop="1" thickBot="1" x14ac:dyDescent="0.4">
      <c r="A22" s="6" t="s">
        <v>90</v>
      </c>
      <c r="B22" s="26">
        <v>3095</v>
      </c>
    </row>
    <row r="23" spans="1:13" ht="15.5" thickTop="1" thickBot="1" x14ac:dyDescent="0.4">
      <c r="A23" s="6" t="s">
        <v>83</v>
      </c>
      <c r="B23" s="26">
        <f>B15+B10</f>
        <v>-1</v>
      </c>
    </row>
    <row r="24" spans="1:13" ht="15.5" thickTop="1" thickBot="1" x14ac:dyDescent="0.4">
      <c r="A24" s="6" t="s">
        <v>84</v>
      </c>
      <c r="B24" s="26">
        <v>1</v>
      </c>
    </row>
    <row r="25" spans="1:13" ht="15" thickTop="1" x14ac:dyDescent="0.35">
      <c r="A25" s="6" t="s">
        <v>64</v>
      </c>
      <c r="B25">
        <f>IF(AND(ISNUMBER($B$6),ISNUMBER(B23),ISNUMBER(B24)),($B$6-B23)/B24,"")</f>
        <v>-0.19999999999999996</v>
      </c>
    </row>
    <row r="26" spans="1:13" ht="15" thickBot="1" x14ac:dyDescent="0.4">
      <c r="A26" s="6" t="s">
        <v>93</v>
      </c>
      <c r="B26">
        <f>IF(AND(ISNUMBER($B$6),ISNUMBER(B23),ISNUMBER(B24)),IF(AND($C$6="or lower"),_xlfn.NORM.S.DIST(($B$6-B23)/B24,TRUE),IF(AND($C$6="or higher"),1-_xlfn.NORM.S.DIST(($B$6-B23)/B24,TRUE),"Confirm entries")),"")</f>
        <v>0.42074029056089696</v>
      </c>
      <c r="C26" t="str">
        <f>IF(AND(ISNUMBER($B$6),ISNUMBER(B23),ISNUMBER(B24)),IF(AND($C$6="or lower"),"NORM.S.DIST((Cutoff - Change.interventional)/SD.interventional,TRUE)",IF(AND($C$6="or higher"),"1-NORM.S.DIST((Cutoff - Change.interventional)/SD.interventional,TRUE)","Confirm entries")),"")</f>
        <v>NORM.S.DIST((Cutoff - Change.interventional)/SD.interventional,TRUE)</v>
      </c>
    </row>
    <row r="27" spans="1:13" ht="15.5" thickTop="1" thickBot="1" x14ac:dyDescent="0.4">
      <c r="A27" s="6" t="s">
        <v>25</v>
      </c>
      <c r="B27" s="26">
        <v>0.34196164119418226</v>
      </c>
    </row>
    <row r="28" spans="1:13" ht="15.5" thickTop="1" thickBot="1" x14ac:dyDescent="0.4">
      <c r="A28" s="6" t="s">
        <v>85</v>
      </c>
      <c r="B28" s="26" t="s">
        <v>54</v>
      </c>
      <c r="C28">
        <f>IF(B28="Risk A",B26,IF(B28="Risk B",B27,"Please select which control group risk estimate you want to use."))</f>
        <v>0.42074029056089696</v>
      </c>
    </row>
    <row r="29" spans="1:13" ht="15" thickTop="1" x14ac:dyDescent="0.35"/>
    <row r="30" spans="1:13" ht="26" x14ac:dyDescent="0.6">
      <c r="A30" s="21" t="s">
        <v>88</v>
      </c>
    </row>
    <row r="31" spans="1:13" x14ac:dyDescent="0.35">
      <c r="A31"/>
      <c r="B31" s="27" t="s">
        <v>51</v>
      </c>
      <c r="C31" s="27"/>
      <c r="D31" s="27"/>
      <c r="E31" s="27" t="s">
        <v>10</v>
      </c>
      <c r="F31" s="27"/>
      <c r="G31" s="27"/>
      <c r="H31" s="27" t="s">
        <v>55</v>
      </c>
      <c r="I31" s="27"/>
      <c r="J31" s="27"/>
      <c r="K31" s="27" t="s">
        <v>9</v>
      </c>
      <c r="L31" s="27"/>
      <c r="M31" s="27"/>
    </row>
    <row r="32" spans="1:13" x14ac:dyDescent="0.35">
      <c r="A32"/>
      <c r="B32" s="1" t="s">
        <v>1</v>
      </c>
      <c r="C32" s="1" t="s">
        <v>2</v>
      </c>
      <c r="D32" s="1" t="s">
        <v>3</v>
      </c>
      <c r="E32" s="1" t="s">
        <v>1</v>
      </c>
      <c r="F32" s="1" t="s">
        <v>2</v>
      </c>
      <c r="G32" s="1" t="s">
        <v>3</v>
      </c>
      <c r="H32" s="1" t="s">
        <v>1</v>
      </c>
      <c r="I32" s="1" t="s">
        <v>2</v>
      </c>
      <c r="J32" s="1" t="s">
        <v>3</v>
      </c>
      <c r="K32" s="1" t="s">
        <v>1</v>
      </c>
      <c r="L32" s="1" t="s">
        <v>2</v>
      </c>
      <c r="M32" s="1" t="s">
        <v>3</v>
      </c>
    </row>
    <row r="33" spans="1:13" x14ac:dyDescent="0.35">
      <c r="A33"/>
      <c r="B33" t="str">
        <f>'Hasselblad &amp; Hedges'!B29</f>
        <v>Benefit</v>
      </c>
      <c r="C33" t="str">
        <f>'Hasselblad &amp; Hedges'!C29</f>
        <v>Benefit</v>
      </c>
      <c r="D33" t="str">
        <f>'Hasselblad &amp; Hedges'!D29</f>
        <v>Benefit</v>
      </c>
      <c r="E33" t="str">
        <f>'Hasselblad &amp; Hedges'!B26</f>
        <v>NNTB</v>
      </c>
      <c r="F33" t="str">
        <f>'Hasselblad &amp; Hedges'!C26</f>
        <v>NNTB</v>
      </c>
      <c r="G33" t="str">
        <f>'Hasselblad &amp; Hedges'!D26</f>
        <v>NNTB</v>
      </c>
      <c r="H33" t="str">
        <f>IF(B33="Benefit","Benefit",IF(B33="Harm","Harm","?"))</f>
        <v>Benefit</v>
      </c>
      <c r="I33" t="str">
        <f t="shared" ref="I33:J33" si="0">IF(C33="Benefit","Benefit",IF(C33="Harm","Harm","?"))</f>
        <v>Benefit</v>
      </c>
      <c r="J33" t="str">
        <f t="shared" si="0"/>
        <v>Benefit</v>
      </c>
      <c r="K33" t="str">
        <f>IF(B33="Benefit","Benefit",IF(B33="Harm","Harm","?"))</f>
        <v>Benefit</v>
      </c>
      <c r="L33" t="str">
        <f t="shared" ref="L33:M33" si="1">IF(C33="Benefit","Benefit",IF(C33="Harm","Harm","?"))</f>
        <v>Benefit</v>
      </c>
      <c r="M33" t="str">
        <f t="shared" si="1"/>
        <v>Benefit</v>
      </c>
    </row>
    <row r="34" spans="1:13" x14ac:dyDescent="0.35">
      <c r="A34" s="7" t="s">
        <v>5</v>
      </c>
      <c r="B34">
        <f>'Hasselblad &amp; Hedges'!B31</f>
        <v>0.11745177856483691</v>
      </c>
      <c r="C34">
        <f>'Hasselblad &amp; Hedges'!C31</f>
        <v>8.2370344429044826E-2</v>
      </c>
      <c r="D34">
        <f>'Hasselblad &amp; Hedges'!D31</f>
        <v>0.14877144246344198</v>
      </c>
      <c r="E34" s="23">
        <f>'Hasselblad &amp; Hedges'!B28</f>
        <v>8.514132456904175</v>
      </c>
      <c r="F34" s="23">
        <f>'Hasselblad &amp; Hedges'!C28</f>
        <v>6.7217201328523304</v>
      </c>
      <c r="G34" s="23">
        <f>'Hasselblad &amp; Hedges'!D28</f>
        <v>12.140291593188815</v>
      </c>
      <c r="H34">
        <f>'Hasselblad &amp; Hedges'!B32</f>
        <v>1.378876705047861</v>
      </c>
      <c r="I34">
        <f>'Hasselblad &amp; Hedges'!C32</f>
        <v>1.2657107884807899</v>
      </c>
      <c r="J34">
        <f>'Hasselblad &amp; Hedges'!D32</f>
        <v>1.479907878914329</v>
      </c>
      <c r="K34" s="25">
        <f>'Hasselblad &amp; Hedges'!B21</f>
        <v>1.661737633379001</v>
      </c>
      <c r="L34" s="25">
        <f>'Hasselblad &amp; Hedges'!C21</f>
        <v>1.4372906852795333</v>
      </c>
      <c r="M34" s="25">
        <f>'Hasselblad &amp; Hedges'!D21</f>
        <v>1.8867009551356</v>
      </c>
    </row>
    <row r="35" spans="1:13" x14ac:dyDescent="0.35">
      <c r="A35" s="7"/>
      <c r="B35" t="str">
        <f>'Cox &amp; Snell'!B29</f>
        <v>Benefit</v>
      </c>
      <c r="C35" t="str">
        <f>'Cox &amp; Snell'!C29</f>
        <v>Benefit</v>
      </c>
      <c r="D35" t="str">
        <f>'Cox &amp; Snell'!D29</f>
        <v>Benefit</v>
      </c>
      <c r="E35" t="str">
        <f>'Cox &amp; Snell'!B26</f>
        <v>NNTB</v>
      </c>
      <c r="F35" t="str">
        <f>'Cox &amp; Snell'!C26</f>
        <v>NNTB</v>
      </c>
      <c r="G35" t="str">
        <f>'Cox &amp; Snell'!D26</f>
        <v>NNTB</v>
      </c>
      <c r="H35" t="str">
        <f>IF(B35="Benefit","Benefit",IF(B35="Harm","Harm","?"))</f>
        <v>Benefit</v>
      </c>
      <c r="I35" t="str">
        <f t="shared" ref="I35" si="2">IF(C35="Benefit","Benefit",IF(C35="Harm","Harm","?"))</f>
        <v>Benefit</v>
      </c>
      <c r="J35" t="str">
        <f t="shared" ref="J35" si="3">IF(D35="Benefit","Benefit",IF(D35="Harm","Harm","?"))</f>
        <v>Benefit</v>
      </c>
      <c r="K35" t="str">
        <f>IF(B35="Benefit","Benefit",IF(B35="Harm","Harm","?"))</f>
        <v>Benefit</v>
      </c>
      <c r="L35" t="str">
        <f t="shared" ref="L35:M35" si="4">IF(C35="Benefit","Benefit",IF(C35="Harm","Harm","?"))</f>
        <v>Benefit</v>
      </c>
      <c r="M35" t="str">
        <f t="shared" si="4"/>
        <v>Benefit</v>
      </c>
    </row>
    <row r="36" spans="1:13" x14ac:dyDescent="0.35">
      <c r="A36" s="7" t="s">
        <v>6</v>
      </c>
      <c r="B36">
        <f>'Cox &amp; Snell'!B31</f>
        <v>0.10626639376491319</v>
      </c>
      <c r="C36">
        <f>'Cox &amp; Snell'!C31</f>
        <v>7.4588007260958114E-2</v>
      </c>
      <c r="D36">
        <f>'Cox &amp; Snell'!D31</f>
        <v>0.13457389295293451</v>
      </c>
      <c r="E36">
        <f>'Cox &amp; Snell'!B28</f>
        <v>9.4103127486591891</v>
      </c>
      <c r="F36">
        <f>'Cox &amp; Snell'!C28</f>
        <v>7.4308617968697472</v>
      </c>
      <c r="G36">
        <f>'Cox &amp; Snell'!D28</f>
        <v>13.406981051274631</v>
      </c>
      <c r="H36">
        <f>'Cox &amp; Snell'!B32</f>
        <v>1.3427948185964942</v>
      </c>
      <c r="I36">
        <f>'Cox &amp; Snell'!C32</f>
        <v>1.2406064750353487</v>
      </c>
      <c r="J36">
        <f>'Cox &amp; Snell'!D32</f>
        <v>1.4341093321062404</v>
      </c>
      <c r="K36">
        <f>'Cox &amp; Snell'!B21</f>
        <v>1.587245303225596</v>
      </c>
      <c r="L36">
        <f>'Cox &amp; Snell'!C21</f>
        <v>1.3909681284637803</v>
      </c>
      <c r="M36">
        <f>'Cox &amp; Snell'!D21</f>
        <v>1.781578911395058</v>
      </c>
    </row>
    <row r="37" spans="1:13" x14ac:dyDescent="0.35">
      <c r="A37" s="7"/>
      <c r="B37" t="str">
        <f>Furukawa!B50</f>
        <v>Benefit</v>
      </c>
      <c r="C37" t="str">
        <f>Furukawa!C50</f>
        <v>Benefit</v>
      </c>
      <c r="D37" t="str">
        <f>Furukawa!D50</f>
        <v>Benefit</v>
      </c>
      <c r="E37" t="str">
        <f>Furukawa!B45</f>
        <v>NNTB</v>
      </c>
      <c r="F37" t="str">
        <f>Furukawa!C45</f>
        <v>NNTB</v>
      </c>
      <c r="G37" t="str">
        <f>Furukawa!D45</f>
        <v>NNTB</v>
      </c>
      <c r="H37" t="str">
        <f>IF(B37="Benefit","Benefit",IF(B37="Harm","Harm","?"))</f>
        <v>Benefit</v>
      </c>
      <c r="I37" t="str">
        <f t="shared" ref="I37" si="5">IF(C37="Benefit","Benefit",IF(C37="Harm","Harm","?"))</f>
        <v>Benefit</v>
      </c>
      <c r="J37" t="str">
        <f t="shared" ref="J37" si="6">IF(D37="Benefit","Benefit",IF(D37="Harm","Harm","?"))</f>
        <v>Benefit</v>
      </c>
      <c r="K37" t="str">
        <f>IF(B37="Benefit","Benefit",IF(B37="Harm","Harm","?"))</f>
        <v>Benefit</v>
      </c>
      <c r="L37" t="str">
        <f t="shared" ref="L37:M37" si="7">IF(C37="Benefit","Benefit",IF(C37="Harm","Harm","?"))</f>
        <v>Benefit</v>
      </c>
      <c r="M37" t="str">
        <f t="shared" si="7"/>
        <v>Benefit</v>
      </c>
    </row>
    <row r="38" spans="1:13" x14ac:dyDescent="0.35">
      <c r="A38" s="7" t="s">
        <v>21</v>
      </c>
      <c r="B38">
        <f>Furukawa!B52</f>
        <v>0.10455220086858158</v>
      </c>
      <c r="C38">
        <f>Furukawa!C52</f>
        <v>7.3672185736587681E-2</v>
      </c>
      <c r="D38">
        <f>Furukawa!D52</f>
        <v>0.13201976469595295</v>
      </c>
      <c r="E38">
        <f>Furukawa!B47</f>
        <v>9.564600187201842</v>
      </c>
      <c r="F38">
        <f>Furukawa!C47</f>
        <v>7.5746234081165191</v>
      </c>
      <c r="G38">
        <f>Furukawa!D47</f>
        <v>13.57364370286861</v>
      </c>
      <c r="H38">
        <f>Furukawa!B55</f>
        <v>1.3372651640921986</v>
      </c>
      <c r="I38">
        <f>Furukawa!C55</f>
        <v>1.2376522120535087</v>
      </c>
      <c r="J38">
        <f>Furukawa!D55</f>
        <v>1.4258702086966224</v>
      </c>
      <c r="K38">
        <f>Furukawa!B41</f>
        <v>1.5760806763516262</v>
      </c>
      <c r="L38">
        <f>Furukawa!C41</f>
        <v>1.446431123825515</v>
      </c>
      <c r="M38">
        <f>Furukawa!D41</f>
        <v>1.7173512498813261</v>
      </c>
    </row>
    <row r="39" spans="1:13" x14ac:dyDescent="0.35">
      <c r="A39" s="7"/>
      <c r="B39" t="str">
        <f>Suissa!B58</f>
        <v>Benefit</v>
      </c>
      <c r="C39" t="str">
        <f>Suissa!C58</f>
        <v>Benefit</v>
      </c>
      <c r="D39" t="str">
        <f>Suissa!D58</f>
        <v>Benefit</v>
      </c>
      <c r="E39" t="str">
        <f>Suissa!B55</f>
        <v>NNTB</v>
      </c>
      <c r="F39" t="str">
        <f>Suissa!C55</f>
        <v>NNTB</v>
      </c>
      <c r="G39" t="str">
        <f>Suissa!D55</f>
        <v>NNTB</v>
      </c>
      <c r="H39" t="str">
        <f>IF(B39="Benefit","Benefit",IF(B39="Harm","Harm","?"))</f>
        <v>Benefit</v>
      </c>
      <c r="I39" t="str">
        <f t="shared" ref="I39" si="8">IF(C39="Benefit","Benefit",IF(C39="Harm","Harm","?"))</f>
        <v>Benefit</v>
      </c>
      <c r="J39" t="str">
        <f t="shared" ref="J39" si="9">IF(D39="Benefit","Benefit",IF(D39="Harm","Harm","?"))</f>
        <v>Benefit</v>
      </c>
      <c r="K39" t="str">
        <f>IF(B39="Benefit","Benefit",IF(B39="Harm","Harm","?"))</f>
        <v>Benefit</v>
      </c>
      <c r="L39" t="str">
        <f t="shared" ref="L39:M39" si="10">IF(C39="Benefit","Benefit",IF(C39="Harm","Harm","?"))</f>
        <v>Benefit</v>
      </c>
      <c r="M39" t="str">
        <f t="shared" si="10"/>
        <v>Benefit</v>
      </c>
    </row>
    <row r="40" spans="1:13" x14ac:dyDescent="0.35">
      <c r="A40" s="7" t="s">
        <v>23</v>
      </c>
      <c r="B40">
        <f>Suissa!B60</f>
        <v>0.11074029056089695</v>
      </c>
      <c r="C40">
        <f>Suissa!C60</f>
        <v>9.2779846127843221E-2</v>
      </c>
      <c r="D40">
        <f>Suissa!D60</f>
        <v>0.1289130264130007</v>
      </c>
      <c r="E40">
        <f>Suissa!B57</f>
        <v>9.0301370434827621</v>
      </c>
      <c r="F40">
        <f>Suissa!C57</f>
        <v>7.7571679746023809</v>
      </c>
      <c r="G40">
        <f>Suissa!D57</f>
        <v>10.778202828899714</v>
      </c>
      <c r="H40">
        <f>Suissa!B61</f>
        <v>1.3572267437448289</v>
      </c>
      <c r="I40">
        <f>Suissa!C61</f>
        <v>1.2992898262188493</v>
      </c>
      <c r="J40">
        <f>Suissa!D61</f>
        <v>1.4158484723000022</v>
      </c>
      <c r="K40">
        <f>Suissa!B52</f>
        <v>1.616695305963419</v>
      </c>
      <c r="L40">
        <f>Suissa!C52</f>
        <v>1.5011381887874404</v>
      </c>
      <c r="M40">
        <f>Suissa!D52</f>
        <v>1.7411479714838238</v>
      </c>
    </row>
    <row r="43" spans="1:13" x14ac:dyDescent="0.35">
      <c r="A43" s="6" t="s">
        <v>94</v>
      </c>
    </row>
    <row r="44" spans="1:13" x14ac:dyDescent="0.35">
      <c r="A44" s="22" t="s">
        <v>97</v>
      </c>
    </row>
  </sheetData>
  <sheetProtection algorithmName="SHA-512" hashValue="HDHAcQTij59t8HvTfAUVY61pZftfM5w79DKV618WZPyxcQ238PeKLLLIyipf7IR7Q3grrvkLB0pxJ81gGVxVqg==" saltValue="GaMZ8sRVBCl6x4jdKc3j2w==" spinCount="100000" sheet="1" objects="1" scenarios="1"/>
  <mergeCells count="5">
    <mergeCell ref="B31:D31"/>
    <mergeCell ref="E31:G31"/>
    <mergeCell ref="H31:J31"/>
    <mergeCell ref="K31:M31"/>
    <mergeCell ref="D4:J6"/>
  </mergeCells>
  <conditionalFormatting sqref="A14 A22">
    <cfRule type="expression" dxfId="53" priority="16">
      <formula>AND($B$2="No",$B$3="No")</formula>
    </cfRule>
  </conditionalFormatting>
  <conditionalFormatting sqref="A23:C24 A27:C29 A26 C26 B25:C25">
    <cfRule type="expression" dxfId="52" priority="15">
      <formula>$B$3="No"</formula>
    </cfRule>
  </conditionalFormatting>
  <conditionalFormatting sqref="A22">
    <cfRule type="expression" dxfId="51" priority="13">
      <formula>$B$2="Yes"</formula>
    </cfRule>
  </conditionalFormatting>
  <conditionalFormatting sqref="A25:B26">
    <cfRule type="expression" dxfId="50" priority="8">
      <formula>$B$3="No"</formula>
    </cfRule>
  </conditionalFormatting>
  <conditionalFormatting sqref="B33:M33 B35:M35 B39:M39 B37:M37">
    <cfRule type="cellIs" dxfId="49" priority="9" operator="equal">
      <formula>"Harm"</formula>
    </cfRule>
    <cfRule type="cellIs" dxfId="48" priority="10" operator="equal">
      <formula>"NNTH"</formula>
    </cfRule>
    <cfRule type="cellIs" dxfId="47" priority="11" operator="equal">
      <formula>"Benefit"</formula>
    </cfRule>
    <cfRule type="cellIs" dxfId="46" priority="12" operator="equal">
      <formula>"NNTB"</formula>
    </cfRule>
  </conditionalFormatting>
  <conditionalFormatting sqref="A37:M38">
    <cfRule type="expression" dxfId="45" priority="7">
      <formula>$B$2="No"</formula>
    </cfRule>
  </conditionalFormatting>
  <conditionalFormatting sqref="A39:M40">
    <cfRule type="expression" dxfId="44" priority="6">
      <formula>$B$3="No"</formula>
    </cfRule>
  </conditionalFormatting>
  <conditionalFormatting sqref="B14">
    <cfRule type="expression" dxfId="43" priority="4">
      <formula>AND($B$2="No",$B$3="No")</formula>
    </cfRule>
  </conditionalFormatting>
  <conditionalFormatting sqref="B22">
    <cfRule type="expression" dxfId="42" priority="2">
      <formula>AND($B$2="No",$B$3="No")</formula>
    </cfRule>
  </conditionalFormatting>
  <conditionalFormatting sqref="B22">
    <cfRule type="expression" dxfId="41" priority="1">
      <formula>$B$2="Yes"</formula>
    </cfRule>
  </conditionalFormatting>
  <dataValidations count="8">
    <dataValidation type="list" showInputMessage="1" showErrorMessage="1" sqref="B28:B29 B20" xr:uid="{DCA56678-806E-448B-85DB-ED53E97D6D10}">
      <formula1>"Risk A,Risk B"</formula1>
    </dataValidation>
    <dataValidation type="list" showInputMessage="1" showErrorMessage="1" sqref="B11:B12" xr:uid="{F0A9B0BF-94D5-40BB-A3FD-B92101A3E056}">
      <formula1>"Beneficial,Harmful"</formula1>
    </dataValidation>
    <dataValidation type="list" showInputMessage="1" showErrorMessage="1" sqref="B2:B3" xr:uid="{F4904956-250F-4206-9284-A7A86C0EBFCA}">
      <formula1>"Yes,No"</formula1>
    </dataValidation>
    <dataValidation type="list" showInputMessage="1" showErrorMessage="1" sqref="C6" xr:uid="{8B065DD6-DE28-48BA-AA3C-14BDB5E925F7}">
      <formula1>"or lower,or higher"</formula1>
    </dataValidation>
    <dataValidation showErrorMessage="1" sqref="D2" xr:uid="{461F923C-A00F-4277-9A50-E2FE2CCC61D7}"/>
    <dataValidation type="list" allowBlank="1" showInputMessage="1" showErrorMessage="1" promptTitle="Override?" prompt="Only alter this dropdown if you know why this option exists. In case it is somehow accidentally changed, the default value is &quot;No&quot;." sqref="H2" xr:uid="{81A63506-6783-4BAA-B94A-EC727A260D25}">
      <formula1>"Yes,No"</formula1>
    </dataValidation>
    <dataValidation type="decimal" allowBlank="1" showInputMessage="1" showErrorMessage="1" sqref="B19 B27" xr:uid="{7D55D86B-A4AF-4157-9E90-59BCAC8090C4}">
      <formula1>0</formula1>
      <formula2>1</formula2>
    </dataValidation>
    <dataValidation allowBlank="1" showInputMessage="1" showErrorMessage="1" promptTitle="Override?" prompt="Only alter this dropdown if you know why this option exists. In case it is somehow accidentally changed, the default value is &quot;No&quot;." sqref="G2" xr:uid="{09A27CFE-1407-4284-9841-05BFA678C799}"/>
  </dataValidations>
  <hyperlinks>
    <hyperlink ref="A44" r:id="rId1" display="An unfortunately-necessary disclaimer" xr:uid="{B68881D3-FE4C-44AF-9FA8-D6317F15147E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04811-80C8-4394-8866-E07AF25C115A}">
  <dimension ref="A1:G36"/>
  <sheetViews>
    <sheetView zoomScaleNormal="100" workbookViewId="0">
      <selection activeCell="A23" sqref="A23"/>
    </sheetView>
  </sheetViews>
  <sheetFormatPr defaultRowHeight="14.5" x14ac:dyDescent="0.35"/>
  <cols>
    <col min="1" max="1" width="100.1796875" bestFit="1" customWidth="1"/>
    <col min="2" max="2" width="13.453125" customWidth="1"/>
    <col min="3" max="3" width="12.81640625" customWidth="1"/>
    <col min="4" max="4" width="13.90625" customWidth="1"/>
  </cols>
  <sheetData>
    <row r="1" spans="1:6" ht="15.5" thickTop="1" thickBot="1" x14ac:dyDescent="0.4">
      <c r="A1" s="5" t="s">
        <v>5</v>
      </c>
      <c r="C1" t="s">
        <v>72</v>
      </c>
      <c r="D1" s="4" t="str">
        <f>'Entry &amp; results'!H2</f>
        <v>No</v>
      </c>
      <c r="F1" t="s">
        <v>47</v>
      </c>
    </row>
    <row r="2" spans="1:6" ht="15.5" thickTop="1" thickBot="1" x14ac:dyDescent="0.4">
      <c r="A2" s="6" t="s">
        <v>8</v>
      </c>
      <c r="B2">
        <f>IF(D1="Yes",
PI()/SQRT(3),
IF(D1="No",
IF(OR('Entry &amp; results'!C6="or lower",NOT('Entry &amp; results'!B11='Entry &amp; results'!B12)),
-PI()/SQRT(3),
IF(OR('Entry &amp; results'!C6="or higher",'Entry &amp; results'!B11='Entry &amp; results'!B12),
PI()/SQRT(3),
""))))</f>
        <v>-1.8137993642342178</v>
      </c>
    </row>
    <row r="3" spans="1:6" ht="15.5" thickTop="1" thickBot="1" x14ac:dyDescent="0.4">
      <c r="A3" s="6" t="s">
        <v>58</v>
      </c>
      <c r="B3" s="2">
        <f>'Entry &amp; results'!B6</f>
        <v>-1.2</v>
      </c>
      <c r="C3" s="4" t="str">
        <f>'Entry &amp; results'!C6</f>
        <v>or lower</v>
      </c>
    </row>
    <row r="4" spans="1:6" ht="15.5" thickTop="1" thickBot="1" x14ac:dyDescent="0.4">
      <c r="A4" s="6" t="s">
        <v>59</v>
      </c>
      <c r="B4" s="4">
        <f>'Entry &amp; results'!B15</f>
        <v>-0.72</v>
      </c>
    </row>
    <row r="5" spans="1:6" ht="15.5" thickTop="1" thickBot="1" x14ac:dyDescent="0.4">
      <c r="A5" s="6" t="s">
        <v>60</v>
      </c>
      <c r="B5" s="3">
        <f>'Entry &amp; results'!B16</f>
        <v>1</v>
      </c>
    </row>
    <row r="6" spans="1:6" ht="15" thickTop="1" x14ac:dyDescent="0.35">
      <c r="A6" s="6" t="s">
        <v>63</v>
      </c>
      <c r="B6">
        <f>'Entry &amp; results'!B17</f>
        <v>-0.48</v>
      </c>
    </row>
    <row r="7" spans="1:6" ht="15" thickBot="1" x14ac:dyDescent="0.4">
      <c r="A7" s="6" t="s">
        <v>17</v>
      </c>
      <c r="B7">
        <f>'Entry &amp; results'!B18</f>
        <v>0.31561369651622256</v>
      </c>
      <c r="C7" t="str">
        <f>'Entry &amp; results'!C18</f>
        <v>NORM.S.DIST((Cutoff - Change.control)/SD.control,TRUE)</v>
      </c>
    </row>
    <row r="8" spans="1:6" ht="15.5" thickTop="1" thickBot="1" x14ac:dyDescent="0.4">
      <c r="A8" s="6" t="s">
        <v>22</v>
      </c>
      <c r="B8" s="4">
        <f>'Entry &amp; results'!B19</f>
        <v>0.31</v>
      </c>
    </row>
    <row r="9" spans="1:6" ht="15.5" thickTop="1" thickBot="1" x14ac:dyDescent="0.4">
      <c r="A9" s="6" t="s">
        <v>18</v>
      </c>
      <c r="B9" s="4" t="str">
        <f>'Entry &amp; results'!B20</f>
        <v>Risk B</v>
      </c>
      <c r="C9">
        <f>'Entry &amp; results'!C20</f>
        <v>0.31</v>
      </c>
    </row>
    <row r="10" spans="1:6" ht="15" thickTop="1" x14ac:dyDescent="0.35">
      <c r="A10" s="6" t="s">
        <v>19</v>
      </c>
      <c r="B10">
        <f>C9/(1-C9)</f>
        <v>0.44927536231884063</v>
      </c>
    </row>
    <row r="11" spans="1:6" x14ac:dyDescent="0.35">
      <c r="A11" s="6"/>
    </row>
    <row r="12" spans="1:6" ht="15" thickBot="1" x14ac:dyDescent="0.4">
      <c r="A12" s="6"/>
      <c r="B12" s="1" t="s">
        <v>1</v>
      </c>
      <c r="C12" s="1" t="s">
        <v>2</v>
      </c>
      <c r="D12" s="1" t="s">
        <v>3</v>
      </c>
    </row>
    <row r="13" spans="1:6" ht="15.5" thickTop="1" thickBot="1" x14ac:dyDescent="0.4">
      <c r="A13" s="7" t="s">
        <v>7</v>
      </c>
      <c r="B13" s="4">
        <f>'Entry &amp; results'!B10</f>
        <v>-0.28000000000000003</v>
      </c>
      <c r="C13" s="4">
        <f>'Entry &amp; results'!C10</f>
        <v>-0.35</v>
      </c>
      <c r="D13" s="4">
        <f>'Entry &amp; results'!D10</f>
        <v>-0.2</v>
      </c>
    </row>
    <row r="14" spans="1:6" ht="15.5" thickTop="1" thickBot="1" x14ac:dyDescent="0.4">
      <c r="A14" s="7" t="s">
        <v>16</v>
      </c>
      <c r="B14" s="4" t="str">
        <f>'Entry &amp; results'!B11</f>
        <v>Beneficial</v>
      </c>
    </row>
    <row r="15" spans="1:6" ht="15.5" thickTop="1" thickBot="1" x14ac:dyDescent="0.4">
      <c r="A15" s="7" t="s">
        <v>20</v>
      </c>
      <c r="B15" s="4" t="str">
        <f>'Entry &amp; results'!B12</f>
        <v>Harmful</v>
      </c>
    </row>
    <row r="16" spans="1:6" ht="15" thickTop="1" x14ac:dyDescent="0.35">
      <c r="A16" s="6" t="s">
        <v>0</v>
      </c>
      <c r="B16">
        <f>(D13-C13)/(2*ABS(_xlfn.NORM.S.INV((1-0.95)/2)))</f>
        <v>3.8266009269349047E-2</v>
      </c>
      <c r="C16" t="s">
        <v>4</v>
      </c>
      <c r="D16" t="s">
        <v>4</v>
      </c>
    </row>
    <row r="17" spans="1:4" x14ac:dyDescent="0.35">
      <c r="A17" s="6" t="s">
        <v>12</v>
      </c>
      <c r="B17">
        <f>B16*B2</f>
        <v>-6.9406863284525985E-2</v>
      </c>
      <c r="C17" t="s">
        <v>4</v>
      </c>
      <c r="D17" t="s">
        <v>4</v>
      </c>
    </row>
    <row r="18" spans="1:4" x14ac:dyDescent="0.35">
      <c r="A18" s="6" t="s">
        <v>13</v>
      </c>
      <c r="B18">
        <f>B17*(2*ABS(_xlfn.NORM.S.INV((1-0.95)/2)))</f>
        <v>-0.27206990463513259</v>
      </c>
      <c r="C18" t="s">
        <v>4</v>
      </c>
      <c r="D18" t="s">
        <v>4</v>
      </c>
    </row>
    <row r="19" spans="1:4" x14ac:dyDescent="0.35">
      <c r="A19" s="6" t="s">
        <v>15</v>
      </c>
      <c r="B19">
        <f>B13*$B$2</f>
        <v>0.507863821985581</v>
      </c>
      <c r="C19">
        <f>C13*$B$2</f>
        <v>0.63482977748197622</v>
      </c>
      <c r="D19">
        <f>D13*$B$2</f>
        <v>0.36275987284684358</v>
      </c>
    </row>
    <row r="20" spans="1:4" x14ac:dyDescent="0.35">
      <c r="A20" s="6" t="s">
        <v>71</v>
      </c>
      <c r="B20">
        <f>EXP(B19)</f>
        <v>1.661737633379001</v>
      </c>
      <c r="C20">
        <f t="shared" ref="C20:D20" si="0">EXP(C19)</f>
        <v>1.8867009551356</v>
      </c>
      <c r="D20">
        <f t="shared" si="0"/>
        <v>1.4372906852795333</v>
      </c>
    </row>
    <row r="21" spans="1:4" x14ac:dyDescent="0.35">
      <c r="A21" s="6" t="s">
        <v>9</v>
      </c>
      <c r="B21" s="23">
        <f>B20</f>
        <v>1.661737633379001</v>
      </c>
      <c r="C21" s="23">
        <f>MIN(C20:D20)</f>
        <v>1.4372906852795333</v>
      </c>
      <c r="D21" s="23">
        <f>MAX(C20:D20)</f>
        <v>1.8867009551356</v>
      </c>
    </row>
    <row r="22" spans="1:4" x14ac:dyDescent="0.35">
      <c r="A22" s="6"/>
    </row>
    <row r="23" spans="1:4" x14ac:dyDescent="0.35">
      <c r="A23" s="6" t="s">
        <v>49</v>
      </c>
      <c r="B23">
        <f>$C$9+B30</f>
        <v>0.4274517785648369</v>
      </c>
      <c r="C23">
        <f>$C$9+C30</f>
        <v>0.39237034442904484</v>
      </c>
      <c r="D23">
        <f>$C$9+D30</f>
        <v>0.45877144246344198</v>
      </c>
    </row>
    <row r="24" spans="1:4" x14ac:dyDescent="0.35">
      <c r="A24" s="6"/>
    </row>
    <row r="25" spans="1:4" x14ac:dyDescent="0.35">
      <c r="A25" s="6"/>
      <c r="B25" s="1" t="s">
        <v>1</v>
      </c>
      <c r="C25" s="1" t="s">
        <v>2</v>
      </c>
      <c r="D25" s="1" t="s">
        <v>3</v>
      </c>
    </row>
    <row r="26" spans="1:4" x14ac:dyDescent="0.35">
      <c r="A26" s="6"/>
      <c r="B26" t="str">
        <f>IF(OR(AND($B$14="Beneficial",B13&lt;0),AND($B$14="Harmful",B13&gt;0)),"NNTB",IF(OR(AND($B$14="Harmful",B13&lt;0),AND($B$14="Beneficial",B13&gt;0)),"NNTH"))</f>
        <v>NNTB</v>
      </c>
      <c r="C26" t="str">
        <f>IF(OR(AND($B$14="Beneficial",C13&lt;0),AND($B$14="Harmful",C13&gt;0)),"NNTB",IF(OR(AND($B$14="Harmful",C13&lt;0),AND($B$14="Beneficial",C13&gt;0)),"NNTH"))</f>
        <v>NNTB</v>
      </c>
      <c r="D26" t="str">
        <f>IF(OR(AND($B$14="Beneficial",D13&lt;0),AND($B$14="Harmful",D13&gt;0)),"NNTB",IF(OR(AND($B$14="Harmful",D13&lt;0),AND($B$14="Beneficial",D13&gt;0)),"NNTH"))</f>
        <v>NNTB</v>
      </c>
    </row>
    <row r="27" spans="1:4" x14ac:dyDescent="0.35">
      <c r="A27" s="6" t="s">
        <v>52</v>
      </c>
      <c r="B27">
        <f>IF(B21&lt;1,((1-($C$9*(1-B21))) / ((1-$C$9)*($C$9)*(1-B21))),IF(B21&gt;1,((($C$9*(B21-1))+1) / ($C$9*(B21-1)*(1-$C$9)))))</f>
        <v>8.514132456904175</v>
      </c>
      <c r="C27">
        <f>IF(C21&lt;1,((1-($C$9*(1-C21))) / ((1-$C$9)*($C$9)*(1-C21))),IF(C21&gt;1,((($C$9*(C21-1))+1) / ($C$9*(C21-1)*(1-$C$9)))))</f>
        <v>12.140291593188815</v>
      </c>
      <c r="D27">
        <f>IF(D21&lt;1,((1-($C$9*(1-D21))) / ((1-$C$9)*($C$9)*(1-D21))),IF(D21&gt;1,((($C$9*(D21-1))+1) / ($C$9*(D21-1)*(1-$C$9)))))</f>
        <v>6.7217201328523304</v>
      </c>
    </row>
    <row r="28" spans="1:4" x14ac:dyDescent="0.35">
      <c r="A28" s="6" t="s">
        <v>10</v>
      </c>
      <c r="B28" s="23">
        <f>B27</f>
        <v>8.514132456904175</v>
      </c>
      <c r="C28" s="23">
        <f>MIN(C27:D27)</f>
        <v>6.7217201328523304</v>
      </c>
      <c r="D28" s="23">
        <f>MAX(C27:D27)</f>
        <v>12.140291593188815</v>
      </c>
    </row>
    <row r="29" spans="1:4" x14ac:dyDescent="0.35">
      <c r="A29" s="6"/>
      <c r="B29" t="str">
        <f>IF(B26="NNTB","Benefit",IF(B26="NNTH","Harm","Error"))</f>
        <v>Benefit</v>
      </c>
      <c r="C29" t="str">
        <f t="shared" ref="C29:D29" si="1">IF(C26="NNTB","Benefit",IF(C26="NNTH","Harm","Error"))</f>
        <v>Benefit</v>
      </c>
      <c r="D29" t="str">
        <f t="shared" si="1"/>
        <v>Benefit</v>
      </c>
    </row>
    <row r="30" spans="1:4" x14ac:dyDescent="0.35">
      <c r="A30" s="6" t="s">
        <v>53</v>
      </c>
      <c r="B30">
        <f>IF(OR(AND(B26="NNTB",$B$15="Harmful"),AND(B26="NNTH",$B$15="Beneficial")),1/B27,IF(OR(AND(B26="NNTH",$B$15="Harmful"),AND(B26="NNTB",$B$15="Beneficial")),-1*(1/B27),"Missing entry"))</f>
        <v>0.11745177856483691</v>
      </c>
      <c r="C30">
        <f t="shared" ref="C30:D30" si="2">IF(OR(AND(C26="NNTB",$B$15="Harmful"),AND(C26="NNTH",$B$15="Beneficial")),1/C27,IF(OR(AND(C26="NNTH",$B$15="Harmful"),AND(C26="NNTB",$B$15="Beneficial")),-1*(1/C27),"Missing entry"))</f>
        <v>8.2370344429044826E-2</v>
      </c>
      <c r="D30">
        <f t="shared" si="2"/>
        <v>0.14877144246344198</v>
      </c>
    </row>
    <row r="31" spans="1:4" x14ac:dyDescent="0.35">
      <c r="A31" s="6" t="s">
        <v>11</v>
      </c>
      <c r="B31">
        <f>B30</f>
        <v>0.11745177856483691</v>
      </c>
      <c r="C31">
        <f>MIN(C30:D30)</f>
        <v>8.2370344429044826E-2</v>
      </c>
      <c r="D31">
        <f>MAX(C30:D30)</f>
        <v>0.14877144246344198</v>
      </c>
    </row>
    <row r="32" spans="1:4" x14ac:dyDescent="0.35">
      <c r="A32" s="6" t="s">
        <v>56</v>
      </c>
      <c r="B32">
        <f>(B31+$C$9)/$C$9</f>
        <v>1.378876705047861</v>
      </c>
      <c r="C32">
        <f t="shared" ref="C32:D32" si="3">(C31+$C$9)/$C$9</f>
        <v>1.2657107884807899</v>
      </c>
      <c r="D32">
        <f t="shared" si="3"/>
        <v>1.479907878914329</v>
      </c>
    </row>
    <row r="34" spans="1:7" x14ac:dyDescent="0.35">
      <c r="A34" s="6"/>
    </row>
    <row r="35" spans="1:7" x14ac:dyDescent="0.35">
      <c r="G35" s="12"/>
    </row>
    <row r="36" spans="1:7" x14ac:dyDescent="0.35">
      <c r="A36" s="6"/>
      <c r="B36" s="13"/>
      <c r="C36" s="13"/>
      <c r="D36" s="13"/>
    </row>
  </sheetData>
  <sheetProtection algorithmName="SHA-512" hashValue="FvZSUAFbZMQxyoREigGt1ii1Q3X3euIIynAoMeKR1sm0k9DRz0eK3rEe24bUbkkM9dBKI5chRG/GDWciqenQnA==" saltValue="dBzRrk/z6pYBRUXAUdVPNw==" spinCount="100000" sheet="1" objects="1" scenarios="1"/>
  <conditionalFormatting sqref="B26:D26">
    <cfRule type="containsText" dxfId="40" priority="9" operator="containsText" text="NNTH">
      <formula>NOT(ISERROR(SEARCH("NNTH",B26)))</formula>
    </cfRule>
    <cfRule type="containsText" dxfId="39" priority="10" operator="containsText" text="NNTB">
      <formula>NOT(ISERROR(SEARCH("NNTB",B26)))</formula>
    </cfRule>
  </conditionalFormatting>
  <conditionalFormatting sqref="B29:D29">
    <cfRule type="containsText" dxfId="38" priority="7" operator="containsText" text="Harm">
      <formula>NOT(ISERROR(SEARCH("Harm",B29)))</formula>
    </cfRule>
    <cfRule type="containsText" dxfId="37" priority="8" operator="containsText" text="Benefit">
      <formula>NOT(ISERROR(SEARCH("Benefit",B29)))</formula>
    </cfRule>
  </conditionalFormatting>
  <conditionalFormatting sqref="B35">
    <cfRule type="expression" dxfId="36" priority="6">
      <formula>$B$34="Good"</formula>
    </cfRule>
  </conditionalFormatting>
  <conditionalFormatting sqref="C35">
    <cfRule type="expression" dxfId="35" priority="5">
      <formula>$C$34="Good"</formula>
    </cfRule>
  </conditionalFormatting>
  <conditionalFormatting sqref="D35">
    <cfRule type="expression" dxfId="34" priority="4">
      <formula>$D$34="Good"</formula>
    </cfRule>
  </conditionalFormatting>
  <conditionalFormatting sqref="B37">
    <cfRule type="expression" dxfId="33" priority="3">
      <formula>$B$36="Good"</formula>
    </cfRule>
  </conditionalFormatting>
  <conditionalFormatting sqref="C37">
    <cfRule type="expression" dxfId="32" priority="2">
      <formula>$C$36="Good"</formula>
    </cfRule>
  </conditionalFormatting>
  <conditionalFormatting sqref="D37">
    <cfRule type="expression" dxfId="31" priority="1">
      <formula>$D$36="Good"</formula>
    </cfRule>
  </conditionalFormatting>
  <dataValidations disablePrompts="1" count="4">
    <dataValidation type="list" allowBlank="1" showInputMessage="1" showErrorMessage="1" sqref="B9" xr:uid="{7CB4C64E-3CB5-4395-8C28-060F31822983}">
      <formula1>"Risk A,Risk B"</formula1>
    </dataValidation>
    <dataValidation type="decimal" allowBlank="1" showInputMessage="1" showErrorMessage="1" sqref="B8" xr:uid="{D500705C-66B4-49E7-AB95-13B0650565E2}">
      <formula1>0</formula1>
      <formula2>1</formula2>
    </dataValidation>
    <dataValidation type="list" showInputMessage="1" showErrorMessage="1" sqref="B14:B15" xr:uid="{C899DC69-2A6B-47C4-ABF8-A6FFB0DA630C}">
      <formula1>"Beneficial,Harmful"</formula1>
    </dataValidation>
    <dataValidation type="list" showInputMessage="1" showErrorMessage="1" sqref="D1" xr:uid="{9AA5219A-F388-4ABD-81BA-34F596B89F88}">
      <formula1>"Yes,No"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1992-E149-4859-8E1D-D2769D3F9119}">
  <dimension ref="A1:G36"/>
  <sheetViews>
    <sheetView zoomScaleNormal="100" workbookViewId="0">
      <selection activeCell="A24" sqref="A24"/>
    </sheetView>
  </sheetViews>
  <sheetFormatPr defaultRowHeight="14.5" x14ac:dyDescent="0.35"/>
  <cols>
    <col min="1" max="1" width="100.1796875" style="6" bestFit="1" customWidth="1"/>
    <col min="2" max="2" width="13.453125" customWidth="1"/>
    <col min="3" max="3" width="13.1796875" customWidth="1"/>
    <col min="4" max="4" width="13.36328125" customWidth="1"/>
  </cols>
  <sheetData>
    <row r="1" spans="1:6" ht="15.5" thickTop="1" thickBot="1" x14ac:dyDescent="0.4">
      <c r="A1" s="5" t="s">
        <v>6</v>
      </c>
      <c r="C1" t="s">
        <v>72</v>
      </c>
      <c r="D1" s="4" t="str">
        <f>'Entry &amp; results'!H2</f>
        <v>No</v>
      </c>
      <c r="F1" t="s">
        <v>47</v>
      </c>
    </row>
    <row r="2" spans="1:6" ht="15.5" thickTop="1" thickBot="1" x14ac:dyDescent="0.4">
      <c r="A2" s="6" t="s">
        <v>8</v>
      </c>
      <c r="B2">
        <f>IF(D1="Yes",
1.65,
IF(D1="No",
IF(OR('Entry &amp; results'!C6="or lower",NOT('Entry &amp; results'!B11='Entry &amp; results'!B12)),
-1.65,
IF(OR('Entry &amp; results'!C6="or higher",'Entry &amp; results'!B11='Entry &amp; results'!B12),
1.65,
""))))</f>
        <v>-1.65</v>
      </c>
    </row>
    <row r="3" spans="1:6" ht="15.5" thickTop="1" thickBot="1" x14ac:dyDescent="0.4">
      <c r="A3" s="6" t="s">
        <v>58</v>
      </c>
      <c r="B3" s="2">
        <f>'Entry &amp; results'!B6</f>
        <v>-1.2</v>
      </c>
      <c r="C3" s="4" t="str">
        <f>'Entry &amp; results'!C6</f>
        <v>or lower</v>
      </c>
    </row>
    <row r="4" spans="1:6" ht="15.5" thickTop="1" thickBot="1" x14ac:dyDescent="0.4">
      <c r="A4" s="6" t="s">
        <v>59</v>
      </c>
      <c r="B4" s="4">
        <f>'Entry &amp; results'!B15</f>
        <v>-0.72</v>
      </c>
    </row>
    <row r="5" spans="1:6" ht="15.5" thickTop="1" thickBot="1" x14ac:dyDescent="0.4">
      <c r="A5" s="6" t="s">
        <v>60</v>
      </c>
      <c r="B5" s="3">
        <f>'Entry &amp; results'!B16</f>
        <v>1</v>
      </c>
    </row>
    <row r="6" spans="1:6" ht="15" thickTop="1" x14ac:dyDescent="0.35">
      <c r="A6" s="6" t="s">
        <v>63</v>
      </c>
      <c r="B6">
        <f>'Entry &amp; results'!B17</f>
        <v>-0.48</v>
      </c>
    </row>
    <row r="7" spans="1:6" ht="15" thickBot="1" x14ac:dyDescent="0.4">
      <c r="A7" s="6" t="s">
        <v>17</v>
      </c>
      <c r="B7">
        <f>'Entry &amp; results'!B18</f>
        <v>0.31561369651622256</v>
      </c>
      <c r="C7" t="str">
        <f>'Entry &amp; results'!C18</f>
        <v>NORM.S.DIST((Cutoff - Change.control)/SD.control,TRUE)</v>
      </c>
    </row>
    <row r="8" spans="1:6" ht="15.5" thickTop="1" thickBot="1" x14ac:dyDescent="0.4">
      <c r="A8" s="6" t="s">
        <v>22</v>
      </c>
      <c r="B8" s="4">
        <f>'Entry &amp; results'!B19</f>
        <v>0.31</v>
      </c>
    </row>
    <row r="9" spans="1:6" ht="15.5" thickTop="1" thickBot="1" x14ac:dyDescent="0.4">
      <c r="A9" s="6" t="s">
        <v>18</v>
      </c>
      <c r="B9" s="4" t="str">
        <f>'Entry &amp; results'!B20</f>
        <v>Risk B</v>
      </c>
      <c r="C9">
        <f>'Entry &amp; results'!C20</f>
        <v>0.31</v>
      </c>
    </row>
    <row r="10" spans="1:6" ht="15" thickTop="1" x14ac:dyDescent="0.35">
      <c r="A10" s="6" t="s">
        <v>19</v>
      </c>
      <c r="B10">
        <f>C9/(1-C9)</f>
        <v>0.44927536231884063</v>
      </c>
    </row>
    <row r="12" spans="1:6" ht="15" thickBot="1" x14ac:dyDescent="0.4">
      <c r="B12" s="1" t="s">
        <v>1</v>
      </c>
      <c r="C12" s="1" t="s">
        <v>2</v>
      </c>
      <c r="D12" s="1" t="s">
        <v>3</v>
      </c>
    </row>
    <row r="13" spans="1:6" ht="15.5" thickTop="1" thickBot="1" x14ac:dyDescent="0.4">
      <c r="A13" s="7" t="s">
        <v>7</v>
      </c>
      <c r="B13" s="4">
        <f>'Entry &amp; results'!B10</f>
        <v>-0.28000000000000003</v>
      </c>
      <c r="C13" s="4">
        <f>'Entry &amp; results'!C10</f>
        <v>-0.35</v>
      </c>
      <c r="D13" s="4">
        <f>'Entry &amp; results'!D10</f>
        <v>-0.2</v>
      </c>
    </row>
    <row r="14" spans="1:6" ht="15.5" thickTop="1" thickBot="1" x14ac:dyDescent="0.4">
      <c r="A14" s="7" t="s">
        <v>16</v>
      </c>
      <c r="B14" s="4" t="str">
        <f>'Entry &amp; results'!B11</f>
        <v>Beneficial</v>
      </c>
    </row>
    <row r="15" spans="1:6" ht="15.5" thickTop="1" thickBot="1" x14ac:dyDescent="0.4">
      <c r="A15" s="7" t="s">
        <v>20</v>
      </c>
      <c r="B15" s="4" t="str">
        <f>'Entry &amp; results'!B12</f>
        <v>Harmful</v>
      </c>
    </row>
    <row r="16" spans="1:6" ht="15" thickTop="1" x14ac:dyDescent="0.35">
      <c r="A16" s="6" t="s">
        <v>0</v>
      </c>
      <c r="B16">
        <f>(D13-C13)/(2*ABS(_xlfn.NORM.S.INV((1-0.95)/2)))</f>
        <v>3.8266009269349047E-2</v>
      </c>
      <c r="C16" t="s">
        <v>4</v>
      </c>
      <c r="D16" t="s">
        <v>4</v>
      </c>
    </row>
    <row r="17" spans="1:4" x14ac:dyDescent="0.35">
      <c r="A17" s="6" t="s">
        <v>12</v>
      </c>
      <c r="B17">
        <f>B16*B2</f>
        <v>-6.3138915294425918E-2</v>
      </c>
      <c r="C17" t="s">
        <v>4</v>
      </c>
      <c r="D17" t="s">
        <v>4</v>
      </c>
    </row>
    <row r="18" spans="1:4" x14ac:dyDescent="0.35">
      <c r="A18" s="6" t="s">
        <v>13</v>
      </c>
      <c r="B18">
        <f>B17*(2*ABS(_xlfn.NORM.S.INV((1-0.95)/2)))</f>
        <v>-0.24749999999999991</v>
      </c>
      <c r="C18" t="s">
        <v>4</v>
      </c>
      <c r="D18" t="s">
        <v>4</v>
      </c>
    </row>
    <row r="19" spans="1:4" x14ac:dyDescent="0.35">
      <c r="A19" s="6" t="s">
        <v>15</v>
      </c>
      <c r="B19">
        <f>B13*$B$2</f>
        <v>0.46200000000000002</v>
      </c>
      <c r="C19">
        <f>C13*$B$2</f>
        <v>0.5774999999999999</v>
      </c>
      <c r="D19">
        <f>D13*$B$2</f>
        <v>0.33</v>
      </c>
    </row>
    <row r="20" spans="1:4" x14ac:dyDescent="0.35">
      <c r="A20" s="6" t="s">
        <v>71</v>
      </c>
      <c r="B20">
        <f>EXP(B19)</f>
        <v>1.587245303225596</v>
      </c>
      <c r="C20">
        <f t="shared" ref="C20:D20" si="0">EXP(C19)</f>
        <v>1.781578911395058</v>
      </c>
      <c r="D20">
        <f t="shared" si="0"/>
        <v>1.3909681284637803</v>
      </c>
    </row>
    <row r="21" spans="1:4" x14ac:dyDescent="0.35">
      <c r="A21" s="6" t="s">
        <v>9</v>
      </c>
      <c r="B21">
        <f>B20</f>
        <v>1.587245303225596</v>
      </c>
      <c r="C21">
        <f>MIN(C20:D20)</f>
        <v>1.3909681284637803</v>
      </c>
      <c r="D21">
        <f>MAX(C20:D20)</f>
        <v>1.781578911395058</v>
      </c>
    </row>
    <row r="23" spans="1:4" x14ac:dyDescent="0.35">
      <c r="A23" s="6" t="s">
        <v>49</v>
      </c>
      <c r="B23">
        <f>$C$9+B30</f>
        <v>0.4162663937649132</v>
      </c>
      <c r="C23">
        <f>$C$9+C30</f>
        <v>0.3845880072609581</v>
      </c>
      <c r="D23">
        <f>$C$9+D30</f>
        <v>0.44457389295293448</v>
      </c>
    </row>
    <row r="25" spans="1:4" x14ac:dyDescent="0.35">
      <c r="B25" s="1" t="s">
        <v>1</v>
      </c>
      <c r="C25" s="1" t="s">
        <v>2</v>
      </c>
      <c r="D25" s="1" t="s">
        <v>3</v>
      </c>
    </row>
    <row r="26" spans="1:4" x14ac:dyDescent="0.35">
      <c r="B26" t="str">
        <f>IF(OR(AND($B$14="Beneficial",B13&lt;0),AND($B$14="Harmful",B13&gt;0)),"NNTB",IF(OR(AND($B$14="Harmful",B13&lt;0),AND($B$14="Beneficial",B13&gt;0)),"NNTH"))</f>
        <v>NNTB</v>
      </c>
      <c r="C26" t="str">
        <f>IF(OR(AND($B$14="Beneficial",C13&lt;0),AND($B$14="Harmful",C13&gt;0)),"NNTB",IF(OR(AND($B$14="Harmful",C13&lt;0),AND($B$14="Beneficial",C13&gt;0)),"NNTH"))</f>
        <v>NNTB</v>
      </c>
      <c r="D26" t="str">
        <f>IF(OR(AND($B$14="Beneficial",D13&lt;0),AND($B$14="Harmful",D13&gt;0)),"NNTB",IF(OR(AND($B$14="Harmful",D13&lt;0),AND($B$14="Beneficial",D13&gt;0)),"NNTH"))</f>
        <v>NNTB</v>
      </c>
    </row>
    <row r="27" spans="1:4" x14ac:dyDescent="0.35">
      <c r="A27" s="6" t="s">
        <v>52</v>
      </c>
      <c r="B27">
        <f>IF(B21&lt;1,((1-($C$9*(1-B21))) / ((1-$C$9)*($C$9)*(1-B21))),IF(B21&gt;1,((($C$9*(B21-1))+1) / ($C$9*(B21-1)*(1-$C$9)))))</f>
        <v>9.4103127486591891</v>
      </c>
      <c r="C27">
        <f>IF(C21&lt;1,((1-($C$9*(1-C21))) / ((1-$C$9)*($C$9)*(1-C21))),IF(C21&gt;1,((($C$9*(C21-1))+1) / ($C$9*(C21-1)*(1-$C$9)))))</f>
        <v>13.406981051274631</v>
      </c>
      <c r="D27">
        <f>IF(D21&lt;1,((1-($C$9*(1-D21))) / ((1-$C$9)*($C$9)*(1-D21))),IF(D21&gt;1,((($C$9*(D21-1))+1) / ($C$9*(D21-1)*(1-$C$9)))))</f>
        <v>7.4308617968697472</v>
      </c>
    </row>
    <row r="28" spans="1:4" x14ac:dyDescent="0.35">
      <c r="A28" s="6" t="s">
        <v>10</v>
      </c>
      <c r="B28">
        <f>B27</f>
        <v>9.4103127486591891</v>
      </c>
      <c r="C28">
        <f>MIN(C27,D27)</f>
        <v>7.4308617968697472</v>
      </c>
      <c r="D28">
        <f>MAX(C27:D27)</f>
        <v>13.406981051274631</v>
      </c>
    </row>
    <row r="29" spans="1:4" x14ac:dyDescent="0.35">
      <c r="B29" t="str">
        <f>IF(B26="NNTB","Benefit",IF(B26="NNTH","Harm","Error"))</f>
        <v>Benefit</v>
      </c>
      <c r="C29" t="str">
        <f t="shared" ref="C29:D29" si="1">IF(C26="NNTB","Benefit",IF(C26="NNTH","Harm","Error"))</f>
        <v>Benefit</v>
      </c>
      <c r="D29" t="str">
        <f t="shared" si="1"/>
        <v>Benefit</v>
      </c>
    </row>
    <row r="30" spans="1:4" x14ac:dyDescent="0.35">
      <c r="A30" s="6" t="s">
        <v>53</v>
      </c>
      <c r="B30">
        <f>IF(OR(AND(B26="NNTB",$B$15="Harmful"),AND(B26="NNTH",$B$15="Beneficial")),1/B27,IF(OR(AND(B26="NNTH",$B$15="Harmful"),AND(B26="NNTB",$B$15="Beneficial")),-1*(1/B27),"Missing entry"))</f>
        <v>0.10626639376491319</v>
      </c>
      <c r="C30">
        <f t="shared" ref="C30:D30" si="2">IF(OR(AND(C26="NNTB",$B$15="Harmful"),AND(C26="NNTH",$B$15="Beneficial")),1/C27,IF(OR(AND(C26="NNTH",$B$15="Harmful"),AND(C26="NNTB",$B$15="Beneficial")),-1*(1/C27),"Missing entry"))</f>
        <v>7.4588007260958114E-2</v>
      </c>
      <c r="D30">
        <f t="shared" si="2"/>
        <v>0.13457389295293451</v>
      </c>
    </row>
    <row r="31" spans="1:4" x14ac:dyDescent="0.35">
      <c r="A31" s="6" t="s">
        <v>11</v>
      </c>
      <c r="B31">
        <f>B30</f>
        <v>0.10626639376491319</v>
      </c>
      <c r="C31">
        <f>MIN(C30:D30)</f>
        <v>7.4588007260958114E-2</v>
      </c>
      <c r="D31">
        <f>MAX(C30:D30)</f>
        <v>0.13457389295293451</v>
      </c>
    </row>
    <row r="32" spans="1:4" x14ac:dyDescent="0.35">
      <c r="A32" s="6" t="s">
        <v>56</v>
      </c>
      <c r="B32">
        <f>(B31+$C$9)/$C$9</f>
        <v>1.3427948185964942</v>
      </c>
      <c r="C32">
        <f t="shared" ref="C32:D32" si="3">(C31+$C$9)/$C$9</f>
        <v>1.2406064750353487</v>
      </c>
      <c r="D32">
        <f t="shared" si="3"/>
        <v>1.4341093321062404</v>
      </c>
    </row>
    <row r="35" spans="2:7" x14ac:dyDescent="0.35">
      <c r="G35" s="12"/>
    </row>
    <row r="36" spans="2:7" x14ac:dyDescent="0.35">
      <c r="B36" s="13"/>
      <c r="C36" s="13"/>
      <c r="D36" s="13"/>
    </row>
  </sheetData>
  <sheetProtection algorithmName="SHA-512" hashValue="DgdhdXauHEBFoCkaQE1wasrKSQJ4feyUdwXysXUbwEEDAVrS1vbHpHnRsZAguRdH2xUSkBCVCyAEZsuij8HEmA==" saltValue="x80FcSlCPqUj7QD7iRwjDw==" spinCount="100000" sheet="1" objects="1" scenarios="1"/>
  <conditionalFormatting sqref="B26:D26">
    <cfRule type="containsText" dxfId="30" priority="9" operator="containsText" text="NNTH">
      <formula>NOT(ISERROR(SEARCH("NNTH",B26)))</formula>
    </cfRule>
    <cfRule type="containsText" dxfId="29" priority="10" operator="containsText" text="NNTB">
      <formula>NOT(ISERROR(SEARCH("NNTB",B26)))</formula>
    </cfRule>
  </conditionalFormatting>
  <conditionalFormatting sqref="B29:D29">
    <cfRule type="containsText" dxfId="28" priority="7" operator="containsText" text="Harm">
      <formula>NOT(ISERROR(SEARCH("Harm",B29)))</formula>
    </cfRule>
    <cfRule type="containsText" dxfId="27" priority="8" operator="containsText" text="Benefit">
      <formula>NOT(ISERROR(SEARCH("Benefit",B29)))</formula>
    </cfRule>
  </conditionalFormatting>
  <conditionalFormatting sqref="B35">
    <cfRule type="expression" dxfId="26" priority="6">
      <formula>$B$34="Good"</formula>
    </cfRule>
  </conditionalFormatting>
  <conditionalFormatting sqref="C35">
    <cfRule type="expression" dxfId="25" priority="5">
      <formula>$C$34="Good"</formula>
    </cfRule>
  </conditionalFormatting>
  <conditionalFormatting sqref="D35">
    <cfRule type="expression" dxfId="24" priority="4">
      <formula>$D$34="Good"</formula>
    </cfRule>
  </conditionalFormatting>
  <conditionalFormatting sqref="B37">
    <cfRule type="expression" dxfId="23" priority="3">
      <formula>$B$36="Good"</formula>
    </cfRule>
  </conditionalFormatting>
  <conditionalFormatting sqref="C37">
    <cfRule type="expression" dxfId="22" priority="2">
      <formula>$C$36="Good"</formula>
    </cfRule>
  </conditionalFormatting>
  <conditionalFormatting sqref="D37">
    <cfRule type="expression" dxfId="21" priority="1">
      <formula>$D$36="Good"</formula>
    </cfRule>
  </conditionalFormatting>
  <dataValidations count="4">
    <dataValidation type="list" showInputMessage="1" showErrorMessage="1" sqref="B14:B15" xr:uid="{B6568A62-A2FA-4669-A0A6-64EA430D73EA}">
      <formula1>"Beneficial,Harmful"</formula1>
    </dataValidation>
    <dataValidation type="decimal" allowBlank="1" showInputMessage="1" showErrorMessage="1" sqref="B8" xr:uid="{19AD082F-F0EC-458D-AE4A-F6AB01502A8F}">
      <formula1>0</formula1>
      <formula2>1</formula2>
    </dataValidation>
    <dataValidation type="list" allowBlank="1" showInputMessage="1" showErrorMessage="1" sqref="B9" xr:uid="{48E171F0-5D7E-456C-8524-6E3A8E1C3B13}">
      <formula1>"Risk A,Risk B"</formula1>
    </dataValidation>
    <dataValidation type="list" showInputMessage="1" showErrorMessage="1" sqref="D1" xr:uid="{A8F9D655-701B-4921-8E97-8E9F4ABEE400}">
      <formula1>"Yes,No"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525F3-30AA-4E09-80F6-C2AF6AFE29B1}">
  <dimension ref="A1:N66"/>
  <sheetViews>
    <sheetView zoomScaleNormal="100" workbookViewId="0">
      <selection activeCell="A29" sqref="A29"/>
    </sheetView>
  </sheetViews>
  <sheetFormatPr defaultRowHeight="14.5" x14ac:dyDescent="0.35"/>
  <cols>
    <col min="1" max="1" width="100.1796875" style="6" bestFit="1" customWidth="1"/>
    <col min="2" max="2" width="13.26953125" customWidth="1"/>
    <col min="3" max="3" width="12.26953125" bestFit="1" customWidth="1"/>
    <col min="4" max="4" width="12.54296875" customWidth="1"/>
    <col min="14" max="14" width="17.54296875" bestFit="1" customWidth="1"/>
  </cols>
  <sheetData>
    <row r="1" spans="1:12" ht="15.5" thickTop="1" thickBot="1" x14ac:dyDescent="0.4">
      <c r="A1" s="5" t="s">
        <v>21</v>
      </c>
      <c r="C1" t="s">
        <v>72</v>
      </c>
      <c r="D1" s="4" t="str">
        <f>'Entry &amp; results'!H2</f>
        <v>No</v>
      </c>
      <c r="F1" t="s">
        <v>47</v>
      </c>
    </row>
    <row r="2" spans="1:12" ht="15.5" thickTop="1" thickBot="1" x14ac:dyDescent="0.4">
      <c r="A2" s="6" t="s">
        <v>58</v>
      </c>
      <c r="B2" s="2">
        <f>'Entry &amp; results'!B6</f>
        <v>-1.2</v>
      </c>
      <c r="C2" s="4" t="str">
        <f>'Entry &amp; results'!C6</f>
        <v>or lower</v>
      </c>
    </row>
    <row r="3" spans="1:12" ht="15.5" thickTop="1" thickBot="1" x14ac:dyDescent="0.4">
      <c r="A3" s="6" t="s">
        <v>59</v>
      </c>
      <c r="B3" s="4">
        <f>'Entry &amp; results'!B15</f>
        <v>-0.72</v>
      </c>
    </row>
    <row r="4" spans="1:12" ht="15.5" thickTop="1" thickBot="1" x14ac:dyDescent="0.4">
      <c r="A4" s="6" t="s">
        <v>60</v>
      </c>
      <c r="B4" s="3">
        <f>'Entry &amp; results'!B16</f>
        <v>1</v>
      </c>
    </row>
    <row r="5" spans="1:12" ht="15" thickTop="1" x14ac:dyDescent="0.35">
      <c r="A5" s="6" t="s">
        <v>63</v>
      </c>
      <c r="B5">
        <f>'Entry &amp; results'!B17</f>
        <v>-0.48</v>
      </c>
    </row>
    <row r="6" spans="1:12" ht="15" thickBot="1" x14ac:dyDescent="0.4">
      <c r="A6" s="6" t="s">
        <v>17</v>
      </c>
      <c r="B6">
        <f>'Entry &amp; results'!B18</f>
        <v>0.31561369651622256</v>
      </c>
      <c r="C6" t="str">
        <f>'Entry &amp; results'!C18</f>
        <v>NORM.S.DIST((Cutoff - Change.control)/SD.control,TRUE)</v>
      </c>
    </row>
    <row r="7" spans="1:12" ht="15.5" thickTop="1" thickBot="1" x14ac:dyDescent="0.4">
      <c r="A7" s="6" t="s">
        <v>22</v>
      </c>
      <c r="B7" s="4">
        <f>'Entry &amp; results'!B19</f>
        <v>0.31</v>
      </c>
    </row>
    <row r="8" spans="1:12" ht="15.5" thickTop="1" thickBot="1" x14ac:dyDescent="0.4">
      <c r="A8" s="6" t="s">
        <v>18</v>
      </c>
      <c r="B8" s="4" t="str">
        <f>'Entry &amp; results'!B20</f>
        <v>Risk B</v>
      </c>
      <c r="C8">
        <f>'Entry &amp; results'!C20</f>
        <v>0.31</v>
      </c>
    </row>
    <row r="9" spans="1:12" ht="15" thickTop="1" x14ac:dyDescent="0.35">
      <c r="A9" s="6" t="s">
        <v>19</v>
      </c>
      <c r="B9">
        <f>C8/(1-C8)</f>
        <v>0.44927536231884063</v>
      </c>
    </row>
    <row r="11" spans="1:12" ht="15" thickBot="1" x14ac:dyDescent="0.4">
      <c r="B11" s="1" t="s">
        <v>1</v>
      </c>
      <c r="C11" s="1" t="s">
        <v>2</v>
      </c>
      <c r="D11" s="1" t="s">
        <v>3</v>
      </c>
    </row>
    <row r="12" spans="1:12" ht="15.5" thickTop="1" thickBot="1" x14ac:dyDescent="0.4">
      <c r="A12" s="7" t="s">
        <v>7</v>
      </c>
      <c r="B12" s="4">
        <f>'Entry &amp; results'!B10</f>
        <v>-0.28000000000000003</v>
      </c>
      <c r="C12" s="4">
        <f>'Entry &amp; results'!C10</f>
        <v>-0.35</v>
      </c>
      <c r="D12" s="4">
        <f>'Entry &amp; results'!D10</f>
        <v>-0.2</v>
      </c>
    </row>
    <row r="13" spans="1:12" ht="15.5" thickTop="1" thickBot="1" x14ac:dyDescent="0.4">
      <c r="A13" s="7" t="s">
        <v>16</v>
      </c>
      <c r="B13" s="4" t="str">
        <f>'Entry &amp; results'!B11</f>
        <v>Beneficial</v>
      </c>
    </row>
    <row r="14" spans="1:12" ht="15.5" thickTop="1" thickBot="1" x14ac:dyDescent="0.4">
      <c r="A14" s="7" t="s">
        <v>20</v>
      </c>
      <c r="B14" s="4" t="str">
        <f>'Entry &amp; results'!B12</f>
        <v>Harmful</v>
      </c>
    </row>
    <row r="15" spans="1:12" ht="15.5" thickTop="1" thickBot="1" x14ac:dyDescent="0.4">
      <c r="F15" s="18" t="s">
        <v>69</v>
      </c>
      <c r="L15" s="12" t="s">
        <v>57</v>
      </c>
    </row>
    <row r="16" spans="1:12" ht="15.5" thickTop="1" thickBot="1" x14ac:dyDescent="0.4">
      <c r="A16" s="6" t="s">
        <v>27</v>
      </c>
      <c r="B16" s="4">
        <f>'Entry &amp; results'!B22</f>
        <v>3095</v>
      </c>
    </row>
    <row r="17" spans="1:14" ht="15.5" thickTop="1" thickBot="1" x14ac:dyDescent="0.4">
      <c r="A17" s="6" t="s">
        <v>28</v>
      </c>
      <c r="B17" s="4">
        <f>'Entry &amp; results'!B14</f>
        <v>5180</v>
      </c>
      <c r="F17" s="1" t="str">
        <f>"-or-"</f>
        <v>-or-</v>
      </c>
      <c r="L17" s="10"/>
      <c r="N17" s="10"/>
    </row>
    <row r="18" spans="1:14" ht="15" thickTop="1" x14ac:dyDescent="0.35">
      <c r="F18" s="19" t="s">
        <v>70</v>
      </c>
      <c r="L18" s="10"/>
      <c r="N18" s="10"/>
    </row>
    <row r="19" spans="1:14" x14ac:dyDescent="0.35">
      <c r="B19" t="s">
        <v>1</v>
      </c>
      <c r="C19" t="s">
        <v>2</v>
      </c>
      <c r="D19" t="s">
        <v>3</v>
      </c>
      <c r="N19" s="11"/>
    </row>
    <row r="20" spans="1:14" x14ac:dyDescent="0.35">
      <c r="A20" s="6" t="s">
        <v>73</v>
      </c>
      <c r="B20">
        <f>IF(D1="Yes",
(1-_xlfn.NORM.S.DIST((B12-_xlfn.NORM.S.INV($C$8)),TRUE)),
IF(D1="No",
IF(OR('Entry &amp; results'!C6="or lower",NOT('Entry &amp; results'!B11='Entry &amp; results'!B12)),
(1-_xlfn.NORM.S.DIST((B12-_xlfn.NORM.S.INV($C$8)),TRUE)),
IF(OR('Entry &amp; results'!C6="or higher",'Entry &amp; results'!B11='Entry &amp; results'!B12),
(_xlfn.NORM.S.DIST((B12+_xlfn.NORM.S.INV($C$8)),TRUE)),
""))))</f>
        <v>0.41455220086858158</v>
      </c>
      <c r="C20">
        <f>IF(D1="Yes",
(1-_xlfn.NORM.S.DIST((C12-_xlfn.NORM.S.INV($C$8)),TRUE)),
IF(D1="No",
IF(OR('Entry &amp; results'!C6="or lower",NOT('Entry &amp; results'!B11='Entry &amp; results'!B12)),
(1-_xlfn.NORM.S.DIST((C12-_xlfn.NORM.S.INV($C$8)),TRUE)),
IF(OR('Entry &amp; results'!C6="or higher",'Entry &amp; results'!B11='Entry &amp; results'!B12),
(_xlfn.NORM.S.DIST((C12+_xlfn.NORM.S.INV($C$8)),TRUE)),
""))))</f>
        <v>0.44201976469595294</v>
      </c>
      <c r="D20">
        <f>IF(D1="Yes",
(1-_xlfn.NORM.S.DIST((D12-_xlfn.NORM.S.INV($C$8)),TRUE)),
IF(D1="No",
IF(OR('Entry &amp; results'!C6="or lower",NOT('Entry &amp; results'!B11='Entry &amp; results'!B12)),
(1-_xlfn.NORM.S.DIST((D12-_xlfn.NORM.S.INV($C$8)),TRUE)),
IF(OR('Entry &amp; results'!C6="or higher",'Entry &amp; results'!B11='Entry &amp; results'!B12),
(_xlfn.NORM.S.DIST((D12+_xlfn.NORM.S.INV($C$8)),TRUE)),
""))))</f>
        <v>0.38367218573658768</v>
      </c>
      <c r="F20" s="1" t="s">
        <v>75</v>
      </c>
    </row>
    <row r="21" spans="1:14" x14ac:dyDescent="0.35">
      <c r="A21" s="6" t="s">
        <v>31</v>
      </c>
      <c r="B21">
        <f>B20</f>
        <v>0.41455220086858158</v>
      </c>
      <c r="C21">
        <f>MIN(C20:D20)</f>
        <v>0.38367218573658768</v>
      </c>
      <c r="D21">
        <f>MAX(C20:D20)</f>
        <v>0.44201976469595294</v>
      </c>
      <c r="F21" s="12" t="str">
        <f>IF(D1="Yes",
"(1) is being used presently.",
IF(D1="No",
IF(OR('Entry &amp; results'!C6="or lower",NOT('Entry &amp; results'!B11='Entry &amp; results'!B12)),
"(1) is being used presently.",
IF(OR('Entry &amp; results'!C6="or higher",'Entry &amp; results'!B11='Entry &amp; results'!B12),
"(2) is being used presently.",
""))))</f>
        <v>(1) is being used presently.</v>
      </c>
    </row>
    <row r="22" spans="1:14" x14ac:dyDescent="0.35">
      <c r="A22" s="6" t="s">
        <v>74</v>
      </c>
      <c r="B22">
        <f>B20/(1-B20)</f>
        <v>0.70809421691160024</v>
      </c>
      <c r="C22">
        <f t="shared" ref="C22:D22" si="0">C20/(1-C20)</f>
        <v>0.7921781753704833</v>
      </c>
      <c r="D22">
        <f t="shared" si="0"/>
        <v>0.62251317700974318</v>
      </c>
    </row>
    <row r="23" spans="1:14" x14ac:dyDescent="0.35">
      <c r="A23" s="6" t="s">
        <v>42</v>
      </c>
      <c r="B23">
        <f>B22</f>
        <v>0.70809421691160024</v>
      </c>
      <c r="C23">
        <f>MIN(C22:D22)</f>
        <v>0.62251317700974318</v>
      </c>
      <c r="D23">
        <f>MAX(C22:D22)</f>
        <v>0.7921781753704833</v>
      </c>
    </row>
    <row r="25" spans="1:14" x14ac:dyDescent="0.35">
      <c r="B25" t="s">
        <v>44</v>
      </c>
      <c r="C25" t="s">
        <v>45</v>
      </c>
    </row>
    <row r="26" spans="1:14" x14ac:dyDescent="0.35">
      <c r="A26" s="6" t="s">
        <v>29</v>
      </c>
      <c r="B26">
        <f>ROUND(C8*B17,0)</f>
        <v>1606</v>
      </c>
      <c r="C26">
        <f>C8*B17</f>
        <v>1605.8</v>
      </c>
    </row>
    <row r="27" spans="1:14" x14ac:dyDescent="0.35">
      <c r="A27" s="6" t="s">
        <v>30</v>
      </c>
      <c r="B27">
        <f>ROUND(B20*B16,0)</f>
        <v>1283</v>
      </c>
      <c r="C27">
        <f>B20*B16</f>
        <v>1283.0390616882601</v>
      </c>
    </row>
    <row r="29" spans="1:14" x14ac:dyDescent="0.35">
      <c r="B29" t="str">
        <f>B25</f>
        <v>Using whole #s for number of events</v>
      </c>
      <c r="C29" t="str">
        <f>C25</f>
        <v>Using unrounded #s for number of events</v>
      </c>
    </row>
    <row r="30" spans="1:14" x14ac:dyDescent="0.35">
      <c r="A30" s="6" t="s">
        <v>12</v>
      </c>
      <c r="B30">
        <f>SQRT((1/B27)+(1/B26)+(1/B16)+(1/B17))</f>
        <v>4.3797719154640646E-2</v>
      </c>
      <c r="C30">
        <f>SQRT((1/C27)+(1/C26)+(1/B16)+(1/B17))</f>
        <v>4.3798333596990424E-2</v>
      </c>
    </row>
    <row r="33" spans="1:5" x14ac:dyDescent="0.35">
      <c r="A33" s="6" t="s">
        <v>9</v>
      </c>
      <c r="B33">
        <f>B22/B9</f>
        <v>1.5760806763516262</v>
      </c>
    </row>
    <row r="34" spans="1:5" x14ac:dyDescent="0.35">
      <c r="A34" s="6" t="s">
        <v>15</v>
      </c>
      <c r="B34">
        <f>LN(B33)</f>
        <v>0.45494118070393746</v>
      </c>
    </row>
    <row r="36" spans="1:5" x14ac:dyDescent="0.35">
      <c r="B36" t="str">
        <f>"Lower ("&amp;LOWER(B25)&amp;")"</f>
        <v>Lower (using whole #s for number of events)</v>
      </c>
      <c r="C36" t="str">
        <f>"Upper ("&amp;LOWER(B25)&amp;")"</f>
        <v>Upper (using whole #s for number of events)</v>
      </c>
      <c r="D36" t="str">
        <f>"Lower ("&amp;LOWER(C25)&amp;")"</f>
        <v>Lower (using unrounded #s for number of events)</v>
      </c>
      <c r="E36" t="str">
        <f>"Upper ("&amp;LOWER(C25)&amp;")"</f>
        <v>Upper (using unrounded #s for number of events)</v>
      </c>
    </row>
    <row r="37" spans="1:5" x14ac:dyDescent="0.35">
      <c r="A37" s="6" t="s">
        <v>43</v>
      </c>
      <c r="B37">
        <f>B34-((B30*(2*ABS(_xlfn.NORM.S.INV((1-0.95)/2))))/2)</f>
        <v>0.36909922855584176</v>
      </c>
      <c r="C37">
        <f>B34+((B30*(2*ABS(_xlfn.NORM.S.INV((1-0.95)/2))))/2)</f>
        <v>0.54078313285203317</v>
      </c>
      <c r="D37">
        <f>B34-((C30*(2*ABS(_xlfn.NORM.S.INV((1-0.95)/2))))/2)</f>
        <v>0.36909802427096561</v>
      </c>
      <c r="E37">
        <f>B34+((C30*(2*ABS(_xlfn.NORM.S.INV((1-0.95)/2))))/2)</f>
        <v>0.54078433713690932</v>
      </c>
    </row>
    <row r="38" spans="1:5" x14ac:dyDescent="0.35">
      <c r="A38" s="6" t="s">
        <v>46</v>
      </c>
      <c r="B38">
        <f>EXP(B37)</f>
        <v>1.446431123825515</v>
      </c>
      <c r="C38">
        <f t="shared" ref="C38:E38" si="1">EXP(C37)</f>
        <v>1.7173512498813261</v>
      </c>
      <c r="D38">
        <f t="shared" si="1"/>
        <v>1.4464293819114371</v>
      </c>
      <c r="E38">
        <f t="shared" si="1"/>
        <v>1.7173533180627087</v>
      </c>
    </row>
    <row r="40" spans="1:5" x14ac:dyDescent="0.35">
      <c r="B40" t="s">
        <v>1</v>
      </c>
      <c r="C40" t="s">
        <v>2</v>
      </c>
      <c r="D40" t="s">
        <v>3</v>
      </c>
    </row>
    <row r="41" spans="1:5" x14ac:dyDescent="0.35">
      <c r="A41" s="6" t="str">
        <f>"OR "&amp;LOWER(B25)</f>
        <v>OR using whole #s for number of events</v>
      </c>
      <c r="B41">
        <f>B33</f>
        <v>1.5760806763516262</v>
      </c>
      <c r="C41">
        <f>B38</f>
        <v>1.446431123825515</v>
      </c>
      <c r="D41">
        <f>C38</f>
        <v>1.7173512498813261</v>
      </c>
    </row>
    <row r="42" spans="1:5" x14ac:dyDescent="0.35">
      <c r="A42" s="6" t="str">
        <f>"OR "&amp;LOWER(C25)</f>
        <v>OR using unrounded #s for number of events</v>
      </c>
      <c r="B42">
        <f>B33</f>
        <v>1.5760806763516262</v>
      </c>
      <c r="C42">
        <f>D38</f>
        <v>1.4464293819114371</v>
      </c>
      <c r="D42">
        <f>E38</f>
        <v>1.7173533180627087</v>
      </c>
    </row>
    <row r="44" spans="1:5" x14ac:dyDescent="0.35">
      <c r="B44" s="1" t="s">
        <v>1</v>
      </c>
      <c r="C44" s="1" t="s">
        <v>2</v>
      </c>
      <c r="D44" s="1" t="s">
        <v>3</v>
      </c>
    </row>
    <row r="45" spans="1:5" x14ac:dyDescent="0.35">
      <c r="B45" t="str">
        <f>IF(OR(AND($B$13="Beneficial",B12&lt;0),AND($B$13="Harmful",B12&gt;0)),"NNTB",IF(OR(AND($B$13="Harmful",B12&lt;0),AND($B$13="Beneficial",B12&gt;0)),"NNTH"))</f>
        <v>NNTB</v>
      </c>
      <c r="C45" t="str">
        <f>IF(OR(AND($B$13="Beneficial",C12&lt;0),AND($B$13="Harmful",C12&gt;0)),"NNTB",IF(OR(AND($B$13="Harmful",C12&lt;0),AND($B$13="Beneficial",C12&gt;0)),"NNTH"))</f>
        <v>NNTB</v>
      </c>
      <c r="D45" t="str">
        <f>IF(OR(AND($B$13="Beneficial",D12&lt;0),AND($B$13="Harmful",D12&gt;0)),"NNTB",IF(OR(AND($B$13="Harmful",D12&lt;0),AND($B$13="Beneficial",D12&gt;0)),"NNTH"))</f>
        <v>NNTB</v>
      </c>
    </row>
    <row r="46" spans="1:5" x14ac:dyDescent="0.35">
      <c r="A46" s="6" t="s">
        <v>52</v>
      </c>
      <c r="B46">
        <f>ABS(1/(B20-$C$8))</f>
        <v>9.564600187201842</v>
      </c>
      <c r="C46">
        <f t="shared" ref="C46:D46" si="2">ABS(1/(C20-$C$8))</f>
        <v>7.5746234081165191</v>
      </c>
      <c r="D46">
        <f t="shared" si="2"/>
        <v>13.57364370286861</v>
      </c>
    </row>
    <row r="47" spans="1:5" x14ac:dyDescent="0.35">
      <c r="A47" s="6" t="s">
        <v>10</v>
      </c>
      <c r="B47">
        <f>B46</f>
        <v>9.564600187201842</v>
      </c>
      <c r="C47">
        <f>MIN(C46:D46)</f>
        <v>7.5746234081165191</v>
      </c>
      <c r="D47">
        <f>MAX(C46:D46)</f>
        <v>13.57364370286861</v>
      </c>
    </row>
    <row r="48" spans="1:5" hidden="1" x14ac:dyDescent="0.35">
      <c r="A48" s="6" t="s">
        <v>52</v>
      </c>
      <c r="B48">
        <f>ABS(1/(_xlfn.NORM.S.DIST(B12+_xlfn.NORM.S.INV($C$8),TRUE)-$C$8))</f>
        <v>10.979199241047864</v>
      </c>
      <c r="C48">
        <f>ABS(1/(_xlfn.NORM.S.DIST(C12+_xlfn.NORM.S.INV($C$8),TRUE)-$C$8))</f>
        <v>8.9942711506311905</v>
      </c>
      <c r="D48">
        <f>ABS(1/(_xlfn.NORM.S.DIST(D12+_xlfn.NORM.S.INV($C$8),TRUE)-$C$8))</f>
        <v>14.983804963107373</v>
      </c>
    </row>
    <row r="49" spans="1:7" hidden="1" x14ac:dyDescent="0.35">
      <c r="A49" s="6" t="s">
        <v>10</v>
      </c>
      <c r="B49">
        <f>B48</f>
        <v>10.979199241047864</v>
      </c>
      <c r="C49">
        <f>MIN(C48:D48)</f>
        <v>8.9942711506311905</v>
      </c>
      <c r="D49">
        <f>MAX(C48:D48)</f>
        <v>14.983804963107373</v>
      </c>
    </row>
    <row r="50" spans="1:7" x14ac:dyDescent="0.35">
      <c r="B50" t="str">
        <f>IF(B45="NNTB","Benefit",IF(B45="NNTH","Harm","Error"))</f>
        <v>Benefit</v>
      </c>
      <c r="C50" t="str">
        <f>IF(C45="NNTB","Benefit",IF(C45="NNTH","Harm","Error"))</f>
        <v>Benefit</v>
      </c>
      <c r="D50" t="str">
        <f>IF(D45="NNTB","Benefit",IF(D45="NNTH","Harm","Error"))</f>
        <v>Benefit</v>
      </c>
    </row>
    <row r="51" spans="1:7" x14ac:dyDescent="0.35">
      <c r="A51" s="6" t="s">
        <v>53</v>
      </c>
      <c r="B51">
        <f>IF(OR(AND($B$45="NNTB",$B$14="Harmful"),AND($B$45="NNTH",$B$14="Beneficial")),1/B46,IF(OR(AND($B$45="NNTH",$B$14="Harmful"),AND($B$45="NNTB",$B$14="Beneficial")),-1*(1/B46),"Missing entry"))</f>
        <v>0.10455220086858158</v>
      </c>
      <c r="C51">
        <f>IF(OR(AND($C$45="NNTB",$B$14="Harmful"),AND($C$45="NNTH",$B$14="Beneficial")),1/C46,IF(OR(AND($C$45="NNTH",$B$14="Harmful"),AND($C$45="NNTB",$B$14="Beneficial")),-1*(1/C46),"Missing entry"))</f>
        <v>0.13201976469595295</v>
      </c>
      <c r="D51">
        <f>IF(OR(AND($D$45="NNTB",$B$14="Harmful"),AND($D$45="NNTH",$B$14="Beneficial")),1/D46,IF(OR(AND($D$45="NNTH",$B$14="Harmful"),AND($D$45="NNTB",$B$14="Beneficial")),-1*(1/D46),"Missing entry"))</f>
        <v>7.3672185736587681E-2</v>
      </c>
    </row>
    <row r="52" spans="1:7" x14ac:dyDescent="0.35">
      <c r="A52" s="6" t="s">
        <v>11</v>
      </c>
      <c r="B52">
        <f>B51</f>
        <v>0.10455220086858158</v>
      </c>
      <c r="C52">
        <f>MIN(C51:D51)</f>
        <v>7.3672185736587681E-2</v>
      </c>
      <c r="D52">
        <f>MAX(C51:D51)</f>
        <v>0.13201976469595295</v>
      </c>
    </row>
    <row r="53" spans="1:7" hidden="1" x14ac:dyDescent="0.35">
      <c r="A53" s="6" t="s">
        <v>11</v>
      </c>
      <c r="B53">
        <f>B54</f>
        <v>9.1081323696295291E-2</v>
      </c>
      <c r="C53">
        <f>MIN(C54:D54)</f>
        <v>6.673872240476747E-2</v>
      </c>
      <c r="D53">
        <f>MAX(C54:D54)</f>
        <v>0.11118188269538917</v>
      </c>
      <c r="F53" t="s">
        <v>32</v>
      </c>
    </row>
    <row r="54" spans="1:7" hidden="1" x14ac:dyDescent="0.35">
      <c r="A54" s="6" t="s">
        <v>53</v>
      </c>
      <c r="B54">
        <f>IF(OR(AND($B$45="NNTB",$B$14="Harmful"),AND($B$45="NNTH",$B$14="Beneficial")),1/B48,IF(OR(AND($B$45="NNTH",$B$14="Harmful"),AND($B$45="NNTB",$B$14="Beneficial")),-1*(1/B48),"Missing entry"))</f>
        <v>9.1081323696295291E-2</v>
      </c>
      <c r="C54">
        <f>IF(OR(AND($C$45="NNTB",$B$14="Harmful"),AND($C$45="NNTH",$B$14="Beneficial")),1/C48,IF(OR(AND($C$45="NNTH",$B$14="Harmful"),AND($C$45="NNTB",$B$14="Beneficial")),-1*(1/C48),"Missing entry"))</f>
        <v>0.11118188269538917</v>
      </c>
      <c r="D54">
        <f>IF(OR(AND($D$45="NNTB",$B$14="Harmful"),AND($D$45="NNTH",$B$14="Beneficial")),1/D48,IF(OR(AND($D$45="NNTH",$B$14="Harmful"),AND($D$45="NNTB",$B$14="Beneficial")),-1*(1/D48),"Missing entry"))</f>
        <v>6.673872240476747E-2</v>
      </c>
      <c r="F54" t="s">
        <v>32</v>
      </c>
    </row>
    <row r="55" spans="1:7" x14ac:dyDescent="0.35">
      <c r="A55" s="6" t="s">
        <v>56</v>
      </c>
      <c r="B55">
        <f>(B52+$C$8)/$C$8</f>
        <v>1.3372651640921986</v>
      </c>
      <c r="C55">
        <f t="shared" ref="C55:D55" si="3">(C52+$C$8)/$C$8</f>
        <v>1.2376522120535087</v>
      </c>
      <c r="D55">
        <f t="shared" si="3"/>
        <v>1.4258702086966224</v>
      </c>
    </row>
    <row r="58" spans="1:7" x14ac:dyDescent="0.35">
      <c r="G58" s="12"/>
    </row>
    <row r="59" spans="1:7" x14ac:dyDescent="0.35">
      <c r="B59" s="13"/>
      <c r="C59" s="13"/>
      <c r="D59" s="13"/>
    </row>
    <row r="61" spans="1:7" x14ac:dyDescent="0.35">
      <c r="C61" s="12"/>
    </row>
    <row r="62" spans="1:7" x14ac:dyDescent="0.35">
      <c r="C62" s="12"/>
    </row>
    <row r="63" spans="1:7" x14ac:dyDescent="0.35">
      <c r="C63" s="12"/>
    </row>
    <row r="64" spans="1:7" x14ac:dyDescent="0.35">
      <c r="C64" s="12"/>
    </row>
    <row r="65" spans="3:3" x14ac:dyDescent="0.35">
      <c r="C65" s="12"/>
    </row>
    <row r="66" spans="3:3" x14ac:dyDescent="0.35">
      <c r="C66" s="12"/>
    </row>
  </sheetData>
  <sheetProtection algorithmName="SHA-512" hashValue="K9rJpksigLA0X8YEhi8sl3JPrxkMPuBR9NyHxhxPzZXsDXCiWpvk6mt3Sp80N+e5kPBafSW7BLLVRlSMyVRiYg==" saltValue="WijnU/UCDXHwV6+LAAwf/Q==" spinCount="100000" sheet="1" objects="1" scenarios="1"/>
  <conditionalFormatting sqref="B45:D45">
    <cfRule type="containsText" dxfId="20" priority="9" operator="containsText" text="NNTH">
      <formula>NOT(ISERROR(SEARCH("NNTH",B45)))</formula>
    </cfRule>
    <cfRule type="containsText" dxfId="19" priority="10" operator="containsText" text="NNTB">
      <formula>NOT(ISERROR(SEARCH("NNTB",B45)))</formula>
    </cfRule>
  </conditionalFormatting>
  <conditionalFormatting sqref="B50:D50">
    <cfRule type="containsText" dxfId="18" priority="7" operator="containsText" text="Harm">
      <formula>NOT(ISERROR(SEARCH("Harm",B50)))</formula>
    </cfRule>
    <cfRule type="containsText" dxfId="17" priority="8" operator="containsText" text="Benefit">
      <formula>NOT(ISERROR(SEARCH("Benefit",B50)))</formula>
    </cfRule>
  </conditionalFormatting>
  <conditionalFormatting sqref="B58">
    <cfRule type="expression" dxfId="16" priority="6">
      <formula>$B$57="Good"</formula>
    </cfRule>
  </conditionalFormatting>
  <conditionalFormatting sqref="C58">
    <cfRule type="expression" dxfId="15" priority="5">
      <formula>$C$57="Good"</formula>
    </cfRule>
  </conditionalFormatting>
  <conditionalFormatting sqref="D58">
    <cfRule type="expression" dxfId="14" priority="4">
      <formula>$D$57="Good"</formula>
    </cfRule>
  </conditionalFormatting>
  <conditionalFormatting sqref="B60">
    <cfRule type="expression" dxfId="13" priority="3">
      <formula>$B$59="Good"</formula>
    </cfRule>
  </conditionalFormatting>
  <conditionalFormatting sqref="C60">
    <cfRule type="expression" dxfId="12" priority="2">
      <formula>$C$59="Good"</formula>
    </cfRule>
  </conditionalFormatting>
  <conditionalFormatting sqref="D60">
    <cfRule type="expression" dxfId="11" priority="1">
      <formula>$D$59="Good"</formula>
    </cfRule>
  </conditionalFormatting>
  <dataValidations disablePrompts="1" count="4">
    <dataValidation type="list" showInputMessage="1" showErrorMessage="1" sqref="B13:B14" xr:uid="{8D57E4F4-457D-40E0-B5A9-6F23A59BE7C0}">
      <formula1>"Beneficial,Harmful"</formula1>
    </dataValidation>
    <dataValidation type="decimal" allowBlank="1" showInputMessage="1" showErrorMessage="1" sqref="B7" xr:uid="{727BD036-3FA7-4FC4-BB73-29F605D13E27}">
      <formula1>0</formula1>
      <formula2>1</formula2>
    </dataValidation>
    <dataValidation type="list" allowBlank="1" showInputMessage="1" showErrorMessage="1" sqref="B8" xr:uid="{4E7136B3-7A97-4096-B55E-4D4410B2F62B}">
      <formula1>"Risk A,Risk B"</formula1>
    </dataValidation>
    <dataValidation type="list" showInputMessage="1" showErrorMessage="1" sqref="D1" xr:uid="{8CFC533C-30DC-48C5-843F-E0016BCEA353}">
      <formula1>"Yes,No"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3FC49-5A28-477A-ABFE-C1BA52C34D9E}">
  <dimension ref="A1:P72"/>
  <sheetViews>
    <sheetView topLeftCell="A2" zoomScaleNormal="100" workbookViewId="0">
      <selection activeCell="A32" sqref="A32"/>
    </sheetView>
  </sheetViews>
  <sheetFormatPr defaultRowHeight="14.5" x14ac:dyDescent="0.35"/>
  <cols>
    <col min="1" max="1" width="127.453125" style="6" customWidth="1"/>
    <col min="2" max="2" width="17.54296875" customWidth="1"/>
    <col min="3" max="3" width="17.6328125" customWidth="1"/>
    <col min="4" max="4" width="18.453125" customWidth="1"/>
  </cols>
  <sheetData>
    <row r="1" spans="1:6" ht="15" thickBot="1" x14ac:dyDescent="0.4">
      <c r="A1" s="5" t="s">
        <v>23</v>
      </c>
      <c r="F1" t="s">
        <v>47</v>
      </c>
    </row>
    <row r="2" spans="1:6" ht="15.5" thickTop="1" thickBot="1" x14ac:dyDescent="0.4">
      <c r="A2" s="6" t="s">
        <v>58</v>
      </c>
      <c r="B2" s="2">
        <f>'Entry &amp; results'!B6</f>
        <v>-1.2</v>
      </c>
      <c r="C2" s="4" t="str">
        <f>'Entry &amp; results'!C6</f>
        <v>or lower</v>
      </c>
    </row>
    <row r="3" spans="1:6" ht="15.5" thickTop="1" thickBot="1" x14ac:dyDescent="0.4">
      <c r="B3" s="8"/>
    </row>
    <row r="4" spans="1:6" ht="15.5" thickTop="1" thickBot="1" x14ac:dyDescent="0.4">
      <c r="A4" s="6" t="s">
        <v>59</v>
      </c>
      <c r="B4" s="4">
        <f>'Entry &amp; results'!B15</f>
        <v>-0.72</v>
      </c>
    </row>
    <row r="5" spans="1:6" ht="15.5" thickTop="1" thickBot="1" x14ac:dyDescent="0.4">
      <c r="A5" s="6" t="s">
        <v>60</v>
      </c>
      <c r="B5" s="3">
        <f>'Entry &amp; results'!B16</f>
        <v>1</v>
      </c>
    </row>
    <row r="6" spans="1:6" ht="15" thickTop="1" x14ac:dyDescent="0.35">
      <c r="A6" s="6" t="s">
        <v>63</v>
      </c>
      <c r="B6">
        <f>'Entry &amp; results'!B17</f>
        <v>-0.48</v>
      </c>
    </row>
    <row r="7" spans="1:6" ht="15" thickBot="1" x14ac:dyDescent="0.4">
      <c r="A7" s="6" t="s">
        <v>17</v>
      </c>
      <c r="B7">
        <f>'Entry &amp; results'!B18</f>
        <v>0.31561369651622256</v>
      </c>
      <c r="C7" t="str">
        <f>'Entry &amp; results'!C18</f>
        <v>NORM.S.DIST((Cutoff - Change.control)/SD.control,TRUE)</v>
      </c>
    </row>
    <row r="8" spans="1:6" ht="15.5" thickTop="1" thickBot="1" x14ac:dyDescent="0.4">
      <c r="A8" s="6" t="s">
        <v>22</v>
      </c>
      <c r="B8" s="4">
        <f>'Entry &amp; results'!B19</f>
        <v>0.31</v>
      </c>
    </row>
    <row r="9" spans="1:6" ht="15.5" thickTop="1" thickBot="1" x14ac:dyDescent="0.4">
      <c r="A9" s="6" t="s">
        <v>18</v>
      </c>
      <c r="B9" s="4" t="str">
        <f>'Entry &amp; results'!B20</f>
        <v>Risk B</v>
      </c>
      <c r="C9">
        <f>'Entry &amp; results'!C20</f>
        <v>0.31</v>
      </c>
    </row>
    <row r="10" spans="1:6" ht="15" thickTop="1" x14ac:dyDescent="0.35">
      <c r="A10" s="6" t="s">
        <v>19</v>
      </c>
      <c r="B10">
        <f>C9/(1-C9)</f>
        <v>0.44927536231884063</v>
      </c>
    </row>
    <row r="11" spans="1:6" ht="15" thickBot="1" x14ac:dyDescent="0.4"/>
    <row r="12" spans="1:6" ht="15.5" thickTop="1" thickBot="1" x14ac:dyDescent="0.4">
      <c r="A12" s="6" t="s">
        <v>61</v>
      </c>
      <c r="B12" s="4">
        <f>'Entry &amp; results'!B23</f>
        <v>-1</v>
      </c>
    </row>
    <row r="13" spans="1:6" ht="15.5" thickTop="1" thickBot="1" x14ac:dyDescent="0.4">
      <c r="A13" s="6" t="s">
        <v>62</v>
      </c>
      <c r="B13" s="3">
        <f>'Entry &amp; results'!B24</f>
        <v>1</v>
      </c>
    </row>
    <row r="14" spans="1:6" ht="15" thickTop="1" x14ac:dyDescent="0.35">
      <c r="A14" s="6" t="s">
        <v>64</v>
      </c>
      <c r="B14">
        <f>'Entry &amp; results'!B25</f>
        <v>-0.19999999999999996</v>
      </c>
    </row>
    <row r="15" spans="1:6" ht="15" thickBot="1" x14ac:dyDescent="0.4">
      <c r="A15" s="6" t="s">
        <v>24</v>
      </c>
      <c r="B15">
        <f>'Entry &amp; results'!B26</f>
        <v>0.42074029056089696</v>
      </c>
      <c r="C15" t="str">
        <f>'Entry &amp; results'!C26</f>
        <v>NORM.S.DIST((Cutoff - Change.interventional)/SD.interventional,TRUE)</v>
      </c>
    </row>
    <row r="16" spans="1:6" ht="15.5" thickTop="1" thickBot="1" x14ac:dyDescent="0.4">
      <c r="A16" s="6" t="s">
        <v>25</v>
      </c>
      <c r="B16" s="4">
        <f>'Entry &amp; results'!B27</f>
        <v>0.34196164119418226</v>
      </c>
    </row>
    <row r="17" spans="1:4" ht="15.5" thickTop="1" thickBot="1" x14ac:dyDescent="0.4">
      <c r="A17" s="6" t="s">
        <v>26</v>
      </c>
      <c r="B17" s="4" t="str">
        <f>'Entry &amp; results'!B28</f>
        <v>Risk A</v>
      </c>
      <c r="C17">
        <f>'Entry &amp; results'!C28</f>
        <v>0.42074029056089696</v>
      </c>
    </row>
    <row r="18" spans="1:4" ht="15" thickTop="1" x14ac:dyDescent="0.35">
      <c r="A18" s="6" t="s">
        <v>33</v>
      </c>
      <c r="B18">
        <f>C17/(1-C17)</f>
        <v>0.726341369345884</v>
      </c>
    </row>
    <row r="20" spans="1:4" ht="15" thickBot="1" x14ac:dyDescent="0.4">
      <c r="B20" s="1" t="s">
        <v>1</v>
      </c>
      <c r="C20" s="1" t="s">
        <v>2</v>
      </c>
      <c r="D20" s="1" t="s">
        <v>3</v>
      </c>
    </row>
    <row r="21" spans="1:4" ht="15.5" thickTop="1" thickBot="1" x14ac:dyDescent="0.4">
      <c r="A21" s="7" t="s">
        <v>7</v>
      </c>
      <c r="B21" s="4">
        <f>'Entry &amp; results'!B10</f>
        <v>-0.28000000000000003</v>
      </c>
      <c r="C21" s="4">
        <f>'Entry &amp; results'!C10</f>
        <v>-0.35</v>
      </c>
      <c r="D21" s="4">
        <f>'Entry &amp; results'!D10</f>
        <v>-0.2</v>
      </c>
    </row>
    <row r="22" spans="1:4" ht="15.5" thickTop="1" thickBot="1" x14ac:dyDescent="0.4">
      <c r="A22" s="7" t="s">
        <v>16</v>
      </c>
      <c r="B22" s="4" t="str">
        <f>'Entry &amp; results'!B11</f>
        <v>Beneficial</v>
      </c>
    </row>
    <row r="23" spans="1:4" ht="15.5" thickTop="1" thickBot="1" x14ac:dyDescent="0.4">
      <c r="A23" s="7" t="s">
        <v>20</v>
      </c>
      <c r="B23" s="4" t="str">
        <f>'Entry &amp; results'!B12</f>
        <v>Harmful</v>
      </c>
    </row>
    <row r="24" spans="1:4" ht="15.5" thickTop="1" thickBot="1" x14ac:dyDescent="0.4"/>
    <row r="25" spans="1:4" ht="15.5" thickTop="1" thickBot="1" x14ac:dyDescent="0.4">
      <c r="A25" s="6" t="s">
        <v>27</v>
      </c>
      <c r="B25" s="4">
        <f>'Entry &amp; results'!B22</f>
        <v>3095</v>
      </c>
    </row>
    <row r="26" spans="1:4" ht="15.5" thickTop="1" thickBot="1" x14ac:dyDescent="0.4">
      <c r="A26" s="6" t="s">
        <v>28</v>
      </c>
      <c r="B26" s="4">
        <f>'Entry &amp; results'!B14</f>
        <v>5180</v>
      </c>
    </row>
    <row r="27" spans="1:4" ht="15" thickTop="1" x14ac:dyDescent="0.35"/>
    <row r="28" spans="1:4" x14ac:dyDescent="0.35">
      <c r="A28" s="6" t="s">
        <v>35</v>
      </c>
      <c r="B28">
        <f xml:space="preserve">
((1+0.5*((B2-B12)/B13)^2)*(EXP(-0.5*((B2-B12)/B13)^2))^2)
/
(2*PI()*B25)</f>
        <v>5.0395048879422843E-5</v>
      </c>
    </row>
    <row r="29" spans="1:4" x14ac:dyDescent="0.35">
      <c r="A29" s="6" t="s">
        <v>34</v>
      </c>
      <c r="B29">
        <f xml:space="preserve">
((1+0.5*((B2-B4)/B5)^2)*(EXP(-0.5*((B2-B4)/B5)^2))^2)
/
(2*PI()*B26)</f>
        <v>2.7213329742588332E-5</v>
      </c>
    </row>
    <row r="31" spans="1:4" x14ac:dyDescent="0.35">
      <c r="A31" s="6" t="s">
        <v>12</v>
      </c>
      <c r="B31">
        <f>SQRT(
((B28)/(B15*(1-B15))^2)
+
((B29)/(B7*(1-B7))^2)
)</f>
        <v>3.7837694387569232E-2</v>
      </c>
    </row>
    <row r="33" spans="1:6" x14ac:dyDescent="0.35">
      <c r="A33" s="6" t="s">
        <v>37</v>
      </c>
      <c r="B33">
        <f>SQRT(B28)</f>
        <v>7.0989470261034375E-3</v>
      </c>
    </row>
    <row r="34" spans="1:6" x14ac:dyDescent="0.35">
      <c r="A34" s="6" t="s">
        <v>36</v>
      </c>
      <c r="B34">
        <f>SQRT(B29)</f>
        <v>5.2166396983679385E-3</v>
      </c>
    </row>
    <row r="36" spans="1:6" x14ac:dyDescent="0.35">
      <c r="A36" s="6" t="s">
        <v>38</v>
      </c>
      <c r="B36">
        <f>C17-(B33*ABS(_xlfn.NORM.S.INV((1-0.95)/2)))</f>
        <v>0.4068266100615765</v>
      </c>
    </row>
    <row r="37" spans="1:6" x14ac:dyDescent="0.35">
      <c r="A37" s="6" t="s">
        <v>39</v>
      </c>
      <c r="B37">
        <f>C17+(B33*ABS(_xlfn.NORM.S.INV((1-0.95)/2)))</f>
        <v>0.43465397106021741</v>
      </c>
    </row>
    <row r="38" spans="1:6" x14ac:dyDescent="0.35">
      <c r="A38" s="6" t="s">
        <v>40</v>
      </c>
      <c r="B38">
        <f>C9-(B34*ABS(_xlfn.NORM.S.INV((1-0.95)/2)))</f>
        <v>0.29977557407087696</v>
      </c>
    </row>
    <row r="39" spans="1:6" x14ac:dyDescent="0.35">
      <c r="A39" s="6" t="s">
        <v>41</v>
      </c>
      <c r="B39">
        <f>C9+(B34*ABS(_xlfn.NORM.S.INV((1-0.95)/2)))</f>
        <v>0.32022442592912304</v>
      </c>
    </row>
    <row r="41" spans="1:6" x14ac:dyDescent="0.35">
      <c r="A41" s="6" t="s">
        <v>65</v>
      </c>
      <c r="B41">
        <f>SQRT(
((C17*(1-C17))/B25)
+
((C9*(1-C9))/B26)
)</f>
        <v>1.0956236689074214E-2</v>
      </c>
      <c r="F41" s="12"/>
    </row>
    <row r="42" spans="1:6" x14ac:dyDescent="0.35">
      <c r="F42" s="12"/>
    </row>
    <row r="43" spans="1:6" x14ac:dyDescent="0.35">
      <c r="B43" t="s">
        <v>1</v>
      </c>
      <c r="C43" t="s">
        <v>2</v>
      </c>
      <c r="D43" t="s">
        <v>3</v>
      </c>
      <c r="F43" s="17" t="s">
        <v>67</v>
      </c>
    </row>
    <row r="44" spans="1:6" x14ac:dyDescent="0.35">
      <c r="A44" s="6" t="s">
        <v>66</v>
      </c>
      <c r="B44">
        <f>C17-C9</f>
        <v>0.11074029056089696</v>
      </c>
      <c r="C44">
        <f>B44-((B41*(2*ABS(_xlfn.NORM.S.INV((1-0.95)/2))))/2)</f>
        <v>8.926646124421514E-2</v>
      </c>
      <c r="D44">
        <f>B44+((B41*(2*ABS(_xlfn.NORM.S.INV((1-0.95)/2))))/2)</f>
        <v>0.13221411987757878</v>
      </c>
      <c r="F44" s="12"/>
    </row>
    <row r="46" spans="1:6" x14ac:dyDescent="0.35">
      <c r="A46" s="6" t="s">
        <v>9</v>
      </c>
      <c r="B46">
        <f>B18/B10</f>
        <v>1.616695305963419</v>
      </c>
    </row>
    <row r="47" spans="1:6" x14ac:dyDescent="0.35">
      <c r="A47" s="9" t="s">
        <v>48</v>
      </c>
      <c r="B47">
        <f>LN(B46)</f>
        <v>0.48038413115329187</v>
      </c>
    </row>
    <row r="48" spans="1:6" x14ac:dyDescent="0.35">
      <c r="A48" s="6" t="s">
        <v>12</v>
      </c>
      <c r="B48">
        <f>B31</f>
        <v>3.7837694387569232E-2</v>
      </c>
    </row>
    <row r="50" spans="1:16" x14ac:dyDescent="0.35">
      <c r="B50" t="s">
        <v>1</v>
      </c>
      <c r="C50" t="s">
        <v>2</v>
      </c>
      <c r="D50" t="s">
        <v>3</v>
      </c>
    </row>
    <row r="51" spans="1:16" x14ac:dyDescent="0.35">
      <c r="A51" s="9" t="s">
        <v>48</v>
      </c>
      <c r="B51">
        <f>B47</f>
        <v>0.48038413115329187</v>
      </c>
      <c r="C51">
        <f>B47-((B48*(2*ABS(_xlfn.NORM.S.INV((1-0.95)/2))))/2)</f>
        <v>0.40622361289562287</v>
      </c>
      <c r="D51">
        <f>B47+((B48*(2*ABS(_xlfn.NORM.S.INV((1-0.95)/2))))/2)</f>
        <v>0.55454464941096093</v>
      </c>
    </row>
    <row r="52" spans="1:16" x14ac:dyDescent="0.35">
      <c r="A52" s="6" t="s">
        <v>9</v>
      </c>
      <c r="B52">
        <f>EXP(B51)</f>
        <v>1.616695305963419</v>
      </c>
      <c r="C52">
        <f>EXP(C51)</f>
        <v>1.5011381887874404</v>
      </c>
      <c r="D52">
        <f>EXP(D51)</f>
        <v>1.7411479714838238</v>
      </c>
    </row>
    <row r="54" spans="1:16" x14ac:dyDescent="0.35">
      <c r="B54" s="1" t="s">
        <v>1</v>
      </c>
      <c r="C54" s="1" t="s">
        <v>2</v>
      </c>
      <c r="D54" s="1" t="s">
        <v>3</v>
      </c>
    </row>
    <row r="55" spans="1:16" x14ac:dyDescent="0.35">
      <c r="B55" t="str">
        <f>IF(OR(AND($B$22="Beneficial",B21&lt;0),AND($B$22="Harmful",B21&gt;0)),"NNTB",IF(OR(AND($B$22="Harmful",B21&lt;0),AND($B$22="Beneficial",B21&gt;0)),"NNTH"))</f>
        <v>NNTB</v>
      </c>
      <c r="C55" t="str">
        <f>IF(OR(AND($B$22="Beneficial",C21&lt;0),AND($B$22="Harmful",C21&gt;0)),"NNTB",IF(OR(AND($B$22="Harmful",C21&lt;0),AND($B$22="Beneficial",C21&gt;0)),"NNTH"))</f>
        <v>NNTB</v>
      </c>
      <c r="D55" t="str">
        <f>IF(OR(AND($B$22="Beneficial",D21&lt;0),AND($B$22="Harmful",D21&gt;0)),"NNTB",IF(OR(AND($B$22="Harmful",D21&lt;0),AND($B$22="Beneficial",D21&gt;0)),"NNTH"))</f>
        <v>NNTB</v>
      </c>
      <c r="G55" s="17"/>
    </row>
    <row r="56" spans="1:16" x14ac:dyDescent="0.35">
      <c r="A56" s="6" t="s">
        <v>52</v>
      </c>
      <c r="B56">
        <f>IF(G55="What follows in quotations is the original","=IF(B47&lt;1,((1-($C$9*(1-B47))) / ((1-$C$9)*($C$9)*(1-B47))),IF(B47&gt;1,((($C$9*(B47-1))+1) / ($C$9*(B47-1)*(1-$C$9)))))",ABS(1/(C17-C9)))</f>
        <v>9.0301370434827621</v>
      </c>
      <c r="C56">
        <f>IF(C52&lt;1,((1-($C$9*(1-C52))) / ((1-$C$9)*($C$9)*(1-C52))),IF(C52&gt;1,((($C$9*(C52-1))+1) / ($C$9*(C52-1)*(1-$C$9)))))</f>
        <v>10.778202828899714</v>
      </c>
      <c r="D56">
        <f>IF(D52&lt;1,((1-($C$9*(1-D52))) / ((1-$C$9)*($C$9)*(1-D52))),IF(D52&gt;1,((($C$9*(D52-1))+1) / ($C$9*(D52-1)*(1-$C$9)))))</f>
        <v>7.7571679746023809</v>
      </c>
    </row>
    <row r="57" spans="1:16" x14ac:dyDescent="0.35">
      <c r="A57" s="6" t="s">
        <v>10</v>
      </c>
      <c r="B57">
        <f>B56</f>
        <v>9.0301370434827621</v>
      </c>
      <c r="C57">
        <f>MIN(C56:D56)</f>
        <v>7.7571679746023809</v>
      </c>
      <c r="D57">
        <f>MAX(C56:D56)</f>
        <v>10.778202828899714</v>
      </c>
    </row>
    <row r="58" spans="1:16" x14ac:dyDescent="0.35">
      <c r="B58" t="str">
        <f>IF(B55="NNTB","Benefit",IF(B55="NNTH","Harm","Error"))</f>
        <v>Benefit</v>
      </c>
      <c r="C58" t="str">
        <f t="shared" ref="C58:D58" si="0">IF(C55="NNTB","Benefit",IF(C55="NNTH","Harm","Error"))</f>
        <v>Benefit</v>
      </c>
      <c r="D58" t="str">
        <f t="shared" si="0"/>
        <v>Benefit</v>
      </c>
    </row>
    <row r="59" spans="1:16" x14ac:dyDescent="0.35">
      <c r="A59" s="6" t="s">
        <v>53</v>
      </c>
      <c r="B59">
        <f>IF(OR(AND($B$55="NNTB",$B$23="Harmful"),AND($B$55="NNTH",$B$23="Beneficial")),1/B56,IF(OR(AND($B$55="NNTH",$B$23="Harmful"),AND($B$55="NNTB",$B$23="Beneficial")),-1*(1/B56),"Missing entry"))</f>
        <v>0.11074029056089695</v>
      </c>
      <c r="C59">
        <f>IF(OR(AND($C$55="NNTB",$B$23="Harmful"),AND($C$55="NNTH",$B$23="Beneficial")),1/C56,IF(OR(AND($C$55="NNTH",$B$23="Harmful"),AND($C$55="NNTB",$B$23="Beneficial")),-1*(1/C56),"Missing entry"))</f>
        <v>9.2779846127843221E-2</v>
      </c>
      <c r="D59">
        <f>IF(OR(AND($D$55="NNTB",$B$23="Harmful"),AND($D$55="NNTH",$B$23="Beneficial")),1/D56,IF(OR(AND($D$55="NNTH",$B$23="Harmful"),AND($D$55="NNTB",$B$23="Beneficial")),-1*(1/D56),"Missing entry"))</f>
        <v>0.1289130264130007</v>
      </c>
    </row>
    <row r="60" spans="1:16" x14ac:dyDescent="0.35">
      <c r="A60" s="6" t="s">
        <v>11</v>
      </c>
      <c r="B60">
        <f>B59</f>
        <v>0.11074029056089695</v>
      </c>
      <c r="C60">
        <f>MIN(C59:D59)</f>
        <v>9.2779846127843221E-2</v>
      </c>
      <c r="D60">
        <f>MAX(C59:D59)</f>
        <v>0.1289130264130007</v>
      </c>
    </row>
    <row r="61" spans="1:16" x14ac:dyDescent="0.35">
      <c r="A61" s="6" t="s">
        <v>56</v>
      </c>
      <c r="B61">
        <f>(B60+$C$9)/$C$9</f>
        <v>1.3572267437448289</v>
      </c>
      <c r="C61">
        <f t="shared" ref="C61:D61" si="1">(C60+$C$9)/$C$9</f>
        <v>1.2992898262188493</v>
      </c>
      <c r="D61">
        <f t="shared" si="1"/>
        <v>1.4158484723000022</v>
      </c>
    </row>
    <row r="62" spans="1:16" x14ac:dyDescent="0.35">
      <c r="P62" s="13"/>
    </row>
    <row r="63" spans="1:16" x14ac:dyDescent="0.35">
      <c r="B63" s="13"/>
      <c r="C63" s="13"/>
      <c r="D63" s="13"/>
    </row>
    <row r="65" spans="1:16" x14ac:dyDescent="0.35">
      <c r="P65" s="13"/>
    </row>
    <row r="67" spans="1:16" x14ac:dyDescent="0.35">
      <c r="G67" s="12"/>
    </row>
    <row r="68" spans="1:16" s="15" customFormat="1" x14ac:dyDescent="0.35">
      <c r="A68" s="14"/>
      <c r="B68" s="16"/>
      <c r="G68" s="16"/>
    </row>
    <row r="69" spans="1:16" s="15" customFormat="1" x14ac:dyDescent="0.35">
      <c r="A69" s="14"/>
      <c r="B69" s="16"/>
      <c r="G69" s="16"/>
    </row>
    <row r="70" spans="1:16" s="15" customFormat="1" x14ac:dyDescent="0.35">
      <c r="A70" s="14"/>
      <c r="B70" s="16"/>
      <c r="G70" s="16"/>
    </row>
    <row r="71" spans="1:16" s="15" customFormat="1" x14ac:dyDescent="0.35">
      <c r="A71" s="14"/>
      <c r="B71" s="16"/>
      <c r="G71" s="16"/>
    </row>
    <row r="72" spans="1:16" s="15" customFormat="1" x14ac:dyDescent="0.35">
      <c r="A72" s="14"/>
      <c r="B72" s="16"/>
      <c r="G72" s="16"/>
    </row>
  </sheetData>
  <sheetProtection algorithmName="SHA-512" hashValue="stREpL5KNUvV+anJAYlq3cpzs2oWr1k2Yv7iKPIj37hcng899GGiF4mhV+haCnuNMdNpbzMM3QOv7oSeTD42rg==" saltValue="n5KS1nAGCyIHIkO28f477Q==" spinCount="100000" sheet="1" objects="1" scenarios="1"/>
  <conditionalFormatting sqref="B55:D55">
    <cfRule type="containsText" dxfId="10" priority="10" operator="containsText" text="NNTH">
      <formula>NOT(ISERROR(SEARCH("NNTH",B55)))</formula>
    </cfRule>
    <cfRule type="containsText" dxfId="9" priority="11" operator="containsText" text="NNTB">
      <formula>NOT(ISERROR(SEARCH("NNTB",B55)))</formula>
    </cfRule>
  </conditionalFormatting>
  <conditionalFormatting sqref="B58:D58">
    <cfRule type="containsText" dxfId="8" priority="8" operator="containsText" text="Harm">
      <formula>NOT(ISERROR(SEARCH("Harm",B58)))</formula>
    </cfRule>
    <cfRule type="containsText" dxfId="7" priority="9" operator="containsText" text="Benefit">
      <formula>NOT(ISERROR(SEARCH("Benefit",B58)))</formula>
    </cfRule>
  </conditionalFormatting>
  <conditionalFormatting sqref="A12:A13">
    <cfRule type="expression" dxfId="6" priority="7">
      <formula>$B$2="No"</formula>
    </cfRule>
  </conditionalFormatting>
  <conditionalFormatting sqref="B67">
    <cfRule type="expression" dxfId="5" priority="6">
      <formula>$B$66="Good"</formula>
    </cfRule>
  </conditionalFormatting>
  <conditionalFormatting sqref="C67">
    <cfRule type="expression" dxfId="4" priority="5">
      <formula>$C$66="Good"</formula>
    </cfRule>
  </conditionalFormatting>
  <conditionalFormatting sqref="D67">
    <cfRule type="expression" dxfId="3" priority="4">
      <formula>$D$66="Good"</formula>
    </cfRule>
  </conditionalFormatting>
  <conditionalFormatting sqref="B64">
    <cfRule type="expression" dxfId="2" priority="3">
      <formula>$B$63="Good"</formula>
    </cfRule>
  </conditionalFormatting>
  <conditionalFormatting sqref="C64">
    <cfRule type="expression" dxfId="1" priority="2">
      <formula>$C$63="Good"</formula>
    </cfRule>
  </conditionalFormatting>
  <conditionalFormatting sqref="D64">
    <cfRule type="expression" dxfId="0" priority="1">
      <formula>$D$63="Good"</formula>
    </cfRule>
  </conditionalFormatting>
  <dataValidations disablePrompts="1" count="3">
    <dataValidation type="list" showInputMessage="1" showErrorMessage="1" sqref="B22:B23" xr:uid="{B42B26FA-CCCA-4581-B1A9-1EBB64688F3A}">
      <formula1>"Beneficial,Harmful"</formula1>
    </dataValidation>
    <dataValidation type="decimal" allowBlank="1" showInputMessage="1" showErrorMessage="1" sqref="B8 B16" xr:uid="{5637682E-2C48-40FC-BFA8-5FC8924C3B80}">
      <formula1>0</formula1>
      <formula2>1</formula2>
    </dataValidation>
    <dataValidation type="list" allowBlank="1" showInputMessage="1" showErrorMessage="1" sqref="B9 B17" xr:uid="{F6893799-1DAC-45D3-8AC8-0B762B18829E}">
      <formula1>"Risk A,Risk B"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Entry &amp; results</vt:lpstr>
      <vt:lpstr>Hasselblad &amp; Hedges</vt:lpstr>
      <vt:lpstr>Cox &amp; Snell</vt:lpstr>
      <vt:lpstr>Furukawa</vt:lpstr>
      <vt:lpstr>Suissa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Mayer</dc:creator>
  <cp:lastModifiedBy>Martin Mayer</cp:lastModifiedBy>
  <dcterms:created xsi:type="dcterms:W3CDTF">2018-10-10T18:54:26Z</dcterms:created>
  <dcterms:modified xsi:type="dcterms:W3CDTF">2019-04-23T15:33:05Z</dcterms:modified>
</cp:coreProperties>
</file>